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OOP-COVID19\"/>
    </mc:Choice>
  </mc:AlternateContent>
  <xr:revisionPtr revIDLastSave="0" documentId="13_ncr:1_{73D58598-6678-409C-BE6B-B780404A34E2}" xr6:coauthVersionLast="46" xr6:coauthVersionMax="46" xr10:uidLastSave="{00000000-0000-0000-0000-000000000000}"/>
  <bookViews>
    <workbookView xWindow="-120" yWindow="-120" windowWidth="29040" windowHeight="15840" xr2:uid="{420AC56E-601A-4B8D-9627-D66B54995FEA}"/>
  </bookViews>
  <sheets>
    <sheet name="Summary" sheetId="4" r:id="rId1"/>
    <sheet name="Demand Input" sheetId="3" r:id="rId2"/>
    <sheet name="Financial Input" sheetId="5" r:id="rId3"/>
  </sheets>
  <definedNames>
    <definedName name="_xlchart.v1.0" hidden="1">'Demand Input'!$H$38</definedName>
    <definedName name="_xlchart.v1.1" hidden="1">'Demand Input'!$H$39:$H$53</definedName>
    <definedName name="_xlchart.v1.2" hidden="1">Summary!$A$51:$A$65</definedName>
    <definedName name="_xlchart.v1.3" hidden="1">Summary!$B$50</definedName>
    <definedName name="_xlchart.v1.4" hidden="1">Summary!$B$51:$B$65</definedName>
    <definedName name="_xlchart.v1.5" hidden="1">Summary!$C$50</definedName>
    <definedName name="_xlchart.v1.6" hidden="1">Summary!$C$51:$C$65</definedName>
    <definedName name="_xlnm.Print_Area" localSheetId="1">'Demand Input'!$A$1:$H$55</definedName>
    <definedName name="_xlnm.Print_Area" localSheetId="2">'Financial Input'!$A$1:$N$64</definedName>
    <definedName name="_xlnm.Print_Area" localSheetId="0">Summary!$B$1:$AQ$35</definedName>
    <definedName name="Units" localSheetId="2">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0" i="3" l="1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39" i="3"/>
  <c r="AQ29" i="4"/>
  <c r="B65" i="4"/>
  <c r="C65" i="4"/>
  <c r="B122" i="4"/>
  <c r="D122" i="4" s="1"/>
  <c r="C122" i="4"/>
  <c r="AP31" i="4" s="1"/>
  <c r="B103" i="4"/>
  <c r="D103" i="4" s="1"/>
  <c r="C103" i="4"/>
  <c r="AP30" i="4" s="1"/>
  <c r="B84" i="4"/>
  <c r="C84" i="4"/>
  <c r="AP29" i="4" s="1"/>
  <c r="K11" i="5"/>
  <c r="K15" i="5"/>
  <c r="G32" i="3"/>
  <c r="F32" i="3"/>
  <c r="C32" i="3"/>
  <c r="B32" i="3"/>
  <c r="H31" i="3"/>
  <c r="B121" i="4" s="1"/>
  <c r="AO31" i="4" s="1"/>
  <c r="D31" i="3"/>
  <c r="C121" i="4" s="1"/>
  <c r="AN31" i="4" s="1"/>
  <c r="C31" i="3"/>
  <c r="C102" i="4" s="1"/>
  <c r="AN30" i="4" s="1"/>
  <c r="G19" i="3"/>
  <c r="G31" i="3"/>
  <c r="B102" i="4" s="1"/>
  <c r="AO30" i="4" s="1"/>
  <c r="F31" i="3"/>
  <c r="B83" i="4" s="1"/>
  <c r="AO29" i="4" s="1"/>
  <c r="B31" i="3"/>
  <c r="C83" i="4" s="1"/>
  <c r="AN29" i="4" s="1"/>
  <c r="B120" i="4"/>
  <c r="C120" i="4"/>
  <c r="B64" i="4"/>
  <c r="C64" i="4"/>
  <c r="D65" i="4" l="1"/>
  <c r="D84" i="4"/>
  <c r="AQ31" i="4"/>
  <c r="AQ30" i="4"/>
  <c r="AQ32" i="4" s="1"/>
  <c r="AP32" i="4"/>
  <c r="D64" i="4"/>
  <c r="AN32" i="4"/>
  <c r="D121" i="4"/>
  <c r="D120" i="4"/>
  <c r="D102" i="4"/>
  <c r="D83" i="4"/>
  <c r="AM31" i="4"/>
  <c r="AL31" i="4"/>
  <c r="AP33" i="4" l="1"/>
  <c r="G30" i="3"/>
  <c r="F30" i="3"/>
  <c r="C30" i="3"/>
  <c r="B30" i="3"/>
  <c r="B119" i="4" l="1"/>
  <c r="C119" i="4"/>
  <c r="AJ31" i="4" s="1"/>
  <c r="B101" i="4"/>
  <c r="AM30" i="4" s="1"/>
  <c r="C101" i="4"/>
  <c r="AL30" i="4" s="1"/>
  <c r="B82" i="4"/>
  <c r="AM29" i="4" s="1"/>
  <c r="C82" i="4"/>
  <c r="AL29" i="4" s="1"/>
  <c r="B62" i="4"/>
  <c r="C62" i="4"/>
  <c r="B63" i="4"/>
  <c r="C63" i="4"/>
  <c r="C61" i="4"/>
  <c r="B61" i="4"/>
  <c r="C29" i="3"/>
  <c r="C100" i="4" s="1"/>
  <c r="AJ30" i="4" s="1"/>
  <c r="B29" i="3"/>
  <c r="C81" i="4" s="1"/>
  <c r="AJ29" i="4" s="1"/>
  <c r="G29" i="3"/>
  <c r="B100" i="4" s="1"/>
  <c r="AK30" i="4" s="1"/>
  <c r="F29" i="3"/>
  <c r="B81" i="4" s="1"/>
  <c r="AK29" i="4" s="1"/>
  <c r="H28" i="3"/>
  <c r="B118" i="4" s="1"/>
  <c r="AI31" i="4" s="1"/>
  <c r="G28" i="3"/>
  <c r="B99" i="4" s="1"/>
  <c r="F28" i="3"/>
  <c r="B80" i="4" s="1"/>
  <c r="D28" i="3"/>
  <c r="C118" i="4" s="1"/>
  <c r="C28" i="3"/>
  <c r="C99" i="4" s="1"/>
  <c r="B28" i="3"/>
  <c r="C80" i="4" s="1"/>
  <c r="AL32" i="4" l="1"/>
  <c r="D119" i="4"/>
  <c r="AM32" i="4"/>
  <c r="D100" i="4"/>
  <c r="AJ32" i="4"/>
  <c r="AK31" i="4"/>
  <c r="AK32" i="4" s="1"/>
  <c r="AJ33" i="4" s="1"/>
  <c r="D82" i="4"/>
  <c r="AO32" i="4" s="1"/>
  <c r="AN33" i="4" s="1"/>
  <c r="D101" i="4"/>
  <c r="D63" i="4"/>
  <c r="D81" i="4"/>
  <c r="D62" i="4"/>
  <c r="D61" i="4"/>
  <c r="C27" i="3"/>
  <c r="B27" i="3"/>
  <c r="G27" i="3"/>
  <c r="F27" i="3"/>
  <c r="AL33" i="4" l="1"/>
  <c r="C26" i="3"/>
  <c r="B26" i="3"/>
  <c r="G26" i="3"/>
  <c r="F26" i="3"/>
  <c r="B116" i="4" l="1"/>
  <c r="C116" i="4"/>
  <c r="B117" i="4"/>
  <c r="C117" i="4"/>
  <c r="B97" i="4"/>
  <c r="C97" i="4"/>
  <c r="B98" i="4"/>
  <c r="C98" i="4"/>
  <c r="B78" i="4"/>
  <c r="C78" i="4"/>
  <c r="B79" i="4"/>
  <c r="C79" i="4"/>
  <c r="B59" i="4"/>
  <c r="C59" i="4"/>
  <c r="B60" i="4"/>
  <c r="C60" i="4"/>
  <c r="D117" i="4" l="1"/>
  <c r="D60" i="4"/>
  <c r="D116" i="4"/>
  <c r="D79" i="4"/>
  <c r="D78" i="4"/>
  <c r="D118" i="4"/>
  <c r="D59" i="4"/>
  <c r="D80" i="4"/>
  <c r="D99" i="4"/>
  <c r="D98" i="4"/>
  <c r="D97" i="4"/>
  <c r="AF31" i="4"/>
  <c r="AC31" i="4"/>
  <c r="AI30" i="4"/>
  <c r="AF30" i="4"/>
  <c r="AC30" i="4"/>
  <c r="AI29" i="4"/>
  <c r="AF29" i="4"/>
  <c r="AC29" i="4"/>
  <c r="AH31" i="4"/>
  <c r="AE31" i="4"/>
  <c r="AB31" i="4"/>
  <c r="AH30" i="4"/>
  <c r="AE30" i="4"/>
  <c r="AB30" i="4"/>
  <c r="AH29" i="4"/>
  <c r="AE29" i="4"/>
  <c r="AB29" i="4"/>
  <c r="AB32" i="4" l="1"/>
  <c r="AH32" i="4"/>
  <c r="AI32" i="4"/>
  <c r="AE32" i="4"/>
  <c r="AC32" i="4"/>
  <c r="AF32" i="4"/>
  <c r="C110" i="4"/>
  <c r="C111" i="4"/>
  <c r="C113" i="4"/>
  <c r="C114" i="4"/>
  <c r="B110" i="4"/>
  <c r="B111" i="4"/>
  <c r="B113" i="4"/>
  <c r="B114" i="4"/>
  <c r="C57" i="4"/>
  <c r="C58" i="4"/>
  <c r="B57" i="4"/>
  <c r="B58" i="4"/>
  <c r="D110" i="4" l="1"/>
  <c r="AH33" i="4"/>
  <c r="D58" i="4"/>
  <c r="D113" i="4"/>
  <c r="AE33" i="4"/>
  <c r="AB33" i="4"/>
  <c r="D114" i="4"/>
  <c r="D111" i="4"/>
  <c r="D57" i="4"/>
  <c r="D25" i="3"/>
  <c r="C115" i="4" s="1"/>
  <c r="Y31" i="4" s="1"/>
  <c r="H25" i="3"/>
  <c r="B115" i="4" s="1"/>
  <c r="Z31" i="4" s="1"/>
  <c r="C25" i="3"/>
  <c r="C96" i="4" s="1"/>
  <c r="Y30" i="4" s="1"/>
  <c r="B25" i="3"/>
  <c r="C77" i="4" s="1"/>
  <c r="Y29" i="4" s="1"/>
  <c r="G25" i="3"/>
  <c r="B96" i="4" s="1"/>
  <c r="F25" i="3"/>
  <c r="B77" i="4" s="1"/>
  <c r="D77" i="4" l="1"/>
  <c r="Z29" i="4"/>
  <c r="D96" i="4"/>
  <c r="Z30" i="4"/>
  <c r="Y32" i="4"/>
  <c r="D115" i="4"/>
  <c r="G24" i="3"/>
  <c r="B95" i="4" s="1"/>
  <c r="F24" i="3"/>
  <c r="B76" i="4" s="1"/>
  <c r="C24" i="3"/>
  <c r="C95" i="4" s="1"/>
  <c r="B24" i="3"/>
  <c r="C76" i="4" s="1"/>
  <c r="Z32" i="4" l="1"/>
  <c r="Y33" i="4" s="1"/>
  <c r="D95" i="4"/>
  <c r="M11" i="5"/>
  <c r="M19" i="5"/>
  <c r="M23" i="5"/>
  <c r="M15" i="5"/>
  <c r="G23" i="3" l="1"/>
  <c r="F23" i="3"/>
  <c r="H22" i="3" l="1"/>
  <c r="B112" i="4" s="1"/>
  <c r="G22" i="3"/>
  <c r="F22" i="3"/>
  <c r="F21" i="3" l="1"/>
  <c r="G21" i="3"/>
  <c r="C19" i="3" l="1"/>
  <c r="D19" i="3"/>
  <c r="C109" i="4" s="1"/>
  <c r="C22" i="3"/>
  <c r="D22" i="3"/>
  <c r="C112" i="4" s="1"/>
  <c r="D112" i="4" s="1"/>
  <c r="G20" i="3"/>
  <c r="H19" i="3"/>
  <c r="B109" i="4" s="1"/>
  <c r="F20" i="3" l="1"/>
  <c r="C23" i="3" l="1"/>
  <c r="B23" i="3"/>
  <c r="B22" i="3" l="1"/>
  <c r="C21" i="3"/>
  <c r="B21" i="3"/>
  <c r="C20" i="3"/>
  <c r="B20" i="3"/>
  <c r="B19" i="3"/>
  <c r="C18" i="3"/>
  <c r="B18" i="3"/>
  <c r="F18" i="3"/>
  <c r="G18" i="3"/>
  <c r="F19" i="3"/>
  <c r="B36" i="3" l="1"/>
  <c r="B14" i="3"/>
  <c r="A49" i="4"/>
  <c r="C108" i="4"/>
  <c r="B108" i="4"/>
  <c r="B52" i="4"/>
  <c r="C52" i="4"/>
  <c r="B53" i="4"/>
  <c r="C53" i="4"/>
  <c r="B54" i="4"/>
  <c r="C54" i="4"/>
  <c r="B55" i="4"/>
  <c r="C55" i="4"/>
  <c r="B56" i="4"/>
  <c r="C56" i="4"/>
  <c r="C51" i="4"/>
  <c r="B51" i="4"/>
  <c r="B71" i="4"/>
  <c r="C71" i="4"/>
  <c r="B72" i="4"/>
  <c r="C72" i="4"/>
  <c r="B73" i="4"/>
  <c r="C73" i="4"/>
  <c r="B74" i="4"/>
  <c r="C74" i="4"/>
  <c r="B75" i="4"/>
  <c r="C75" i="4"/>
  <c r="C70" i="4"/>
  <c r="B70" i="4"/>
  <c r="C90" i="4"/>
  <c r="C91" i="4"/>
  <c r="C92" i="4"/>
  <c r="C93" i="4"/>
  <c r="C94" i="4"/>
  <c r="C89" i="4"/>
  <c r="B90" i="4"/>
  <c r="B91" i="4"/>
  <c r="B92" i="4"/>
  <c r="B93" i="4"/>
  <c r="B94" i="4"/>
  <c r="B89" i="4"/>
  <c r="A5" i="3"/>
  <c r="B32" i="4" l="1"/>
  <c r="A106" i="4" l="1"/>
  <c r="B31" i="4" s="1"/>
  <c r="A87" i="4"/>
  <c r="B30" i="4" s="1"/>
  <c r="A68" i="4"/>
  <c r="B29" i="4" s="1"/>
  <c r="G31" i="4" l="1"/>
  <c r="J31" i="4"/>
  <c r="M31" i="4"/>
  <c r="P31" i="4"/>
  <c r="S31" i="4"/>
  <c r="V31" i="4"/>
  <c r="D31" i="4"/>
  <c r="G30" i="4"/>
  <c r="J30" i="4"/>
  <c r="M30" i="4"/>
  <c r="P30" i="4"/>
  <c r="S30" i="4"/>
  <c r="V30" i="4"/>
  <c r="D30" i="4"/>
  <c r="P29" i="4"/>
  <c r="S29" i="4"/>
  <c r="V29" i="4"/>
  <c r="D29" i="4"/>
  <c r="H31" i="4"/>
  <c r="K31" i="4"/>
  <c r="N31" i="4"/>
  <c r="Q31" i="4"/>
  <c r="T31" i="4"/>
  <c r="W31" i="4"/>
  <c r="E31" i="4"/>
  <c r="H30" i="4"/>
  <c r="K30" i="4"/>
  <c r="N30" i="4"/>
  <c r="Q30" i="4"/>
  <c r="T30" i="4"/>
  <c r="W30" i="4"/>
  <c r="E30" i="4"/>
  <c r="Q29" i="4"/>
  <c r="T29" i="4"/>
  <c r="W29" i="4"/>
  <c r="E29" i="4"/>
  <c r="P32" i="4" l="1"/>
  <c r="Q32" i="4"/>
  <c r="W32" i="4"/>
  <c r="T32" i="4"/>
  <c r="E32" i="4"/>
  <c r="V32" i="4"/>
  <c r="S32" i="4"/>
  <c r="D32" i="4"/>
  <c r="K29" i="4"/>
  <c r="K32" i="4" s="1"/>
  <c r="H29" i="4"/>
  <c r="H32" i="4" s="1"/>
  <c r="N29" i="4"/>
  <c r="N32" i="4" s="1"/>
  <c r="M29" i="4"/>
  <c r="M32" i="4" s="1"/>
  <c r="J29" i="4"/>
  <c r="J32" i="4" s="1"/>
  <c r="G29" i="4"/>
  <c r="G32" i="4" s="1"/>
  <c r="D74" i="4"/>
  <c r="D89" i="4"/>
  <c r="D109" i="4"/>
  <c r="D108" i="4"/>
  <c r="D92" i="4"/>
  <c r="D70" i="4"/>
  <c r="D91" i="4"/>
  <c r="D94" i="4"/>
  <c r="D90" i="4"/>
  <c r="D93" i="4"/>
  <c r="D73" i="4"/>
  <c r="D76" i="4"/>
  <c r="D72" i="4"/>
  <c r="D75" i="4"/>
  <c r="D71" i="4"/>
  <c r="D55" i="4"/>
  <c r="D51" i="4"/>
  <c r="D56" i="4"/>
  <c r="D54" i="4"/>
  <c r="D52" i="4"/>
  <c r="D53" i="4"/>
  <c r="G33" i="4" l="1"/>
  <c r="P33" i="4"/>
  <c r="J33" i="4"/>
  <c r="D33" i="4"/>
  <c r="M33" i="4"/>
  <c r="V33" i="4"/>
  <c r="S33" i="4"/>
</calcChain>
</file>

<file path=xl/sharedStrings.xml><?xml version="1.0" encoding="utf-8"?>
<sst xmlns="http://schemas.openxmlformats.org/spreadsheetml/2006/main" count="99" uniqueCount="51">
  <si>
    <t>Current Year</t>
  </si>
  <si>
    <t>Prior Year</t>
  </si>
  <si>
    <t>Month</t>
  </si>
  <si>
    <t>Residential</t>
  </si>
  <si>
    <t>Non-Residential</t>
  </si>
  <si>
    <t>Wholesale</t>
  </si>
  <si>
    <t>Percent Difference</t>
  </si>
  <si>
    <t>Total Demand % Change</t>
  </si>
  <si>
    <t>Select Consumption Units:</t>
  </si>
  <si>
    <t>Please enter data into grey cells below. If no wholesale demand, please leave blank.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</si>
  <si>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</si>
  <si>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</si>
  <si>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</si>
  <si>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</si>
  <si>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</si>
  <si>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</si>
  <si>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</si>
  <si>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</si>
  <si>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</si>
  <si>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</si>
  <si>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</si>
  <si>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</si>
  <si>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</si>
  <si>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</si>
  <si>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</si>
  <si>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</si>
  <si>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</si>
  <si>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</si>
  <si>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</si>
  <si>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</si>
  <si>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</si>
  <si>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</si>
  <si>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</si>
  <si>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</si>
  <si>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</si>
  <si>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Kgal</t>
  </si>
  <si>
    <t>60-90 days</t>
  </si>
  <si>
    <t>90+ days</t>
  </si>
  <si>
    <t>Kent County Water Authority</t>
  </si>
  <si>
    <t>Select Produced Water Units:</t>
  </si>
  <si>
    <t xml:space="preserve">Kent County Water Authoirty </t>
  </si>
  <si>
    <t>Submission for PUC Docket 5026</t>
  </si>
  <si>
    <t xml:space="preserve">Page 2 of 3 </t>
  </si>
  <si>
    <t xml:space="preserve">Page 1 of 3 </t>
  </si>
  <si>
    <t xml:space="preserve">Page 3 of 3 </t>
  </si>
  <si>
    <r>
      <rPr>
        <sz val="20"/>
        <color rgb="FF023B40"/>
        <rFont val="Calibri"/>
        <family val="2"/>
        <scheme val="minor"/>
      </rPr>
      <t>Kent County Water Authority</t>
    </r>
    <r>
      <rPr>
        <sz val="20"/>
        <color theme="1"/>
        <rFont val="Calibri"/>
        <family val="2"/>
        <scheme val="minor"/>
      </rPr>
      <t xml:space="preserve"> </t>
    </r>
  </si>
  <si>
    <t>Page 3 of 3</t>
  </si>
  <si>
    <t>Prior Year (2020)</t>
  </si>
  <si>
    <t>Current Year (2021)</t>
  </si>
  <si>
    <r>
      <t xml:space="preserve">COVID-19 Impact Model                                                                                                                                                               </t>
    </r>
    <r>
      <rPr>
        <sz val="26"/>
        <color rgb="FF023B40"/>
        <rFont val="Calibri"/>
        <family val="2"/>
        <scheme val="minor"/>
      </rPr>
      <t>Kent County Water Authority Submission for PUC Docket 5026</t>
    </r>
  </si>
  <si>
    <t>Percent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</si>
</sst>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  <numFmt numFmtId="170" formatCode="mmm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26"/>
      <color rgb="FF023B40"/>
      <name val="Calibri"/>
      <family val="2"/>
      <scheme val="minor"/>
    </font>
    <font>
      <sz val="8"/>
      <name val="Calibri"/>
      <family val="2"/>
      <scheme val="minor"/>
    </font>
    <font>
      <sz val="48"/>
      <color rgb="FF023B40"/>
      <name val="Calibri"/>
      <family val="2"/>
      <scheme val="minor"/>
    </font>
    <font>
      <sz val="48"/>
      <color theme="0"/>
      <name val="Calibri"/>
      <family val="2"/>
      <scheme val="minor"/>
    </font>
    <font>
      <sz val="22"/>
      <color rgb="FF023B40"/>
      <name val="Calibri"/>
      <family val="2"/>
      <scheme val="minor"/>
    </font>
    <font>
      <sz val="20"/>
      <color rgb="FF023B40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23B40"/>
      </left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 style="thin">
        <color rgb="FF023B40"/>
      </top>
      <bottom style="thin">
        <color rgb="FF023B40"/>
      </bottom>
      <diagonal/>
    </border>
    <border>
      <left/>
      <right/>
      <top/>
      <bottom style="thin">
        <color rgb="FF023B4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4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8" fillId="4" borderId="4" xfId="1" applyNumberFormat="1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0" fillId="0" borderId="0" xfId="0" applyFont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4" fillId="0" borderId="0" xfId="0" applyFont="1" applyFill="1" applyBorder="1" applyAlignment="1">
      <alignment horizontal="right" indent="1"/>
    </xf>
    <xf numFmtId="0" fontId="14" fillId="0" borderId="2" xfId="0" applyFont="1" applyFill="1" applyBorder="1" applyAlignment="1">
      <alignment horizontal="center"/>
    </xf>
    <xf numFmtId="0" fontId="15" fillId="0" borderId="0" xfId="0" applyFont="1" applyFill="1" applyBorder="1" applyAlignment="1"/>
    <xf numFmtId="4" fontId="0" fillId="0" borderId="0" xfId="0" applyNumberFormat="1" applyFill="1" applyAlignment="1">
      <alignment horizontal="center"/>
    </xf>
    <xf numFmtId="0" fontId="7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8" fillId="3" borderId="0" xfId="0" applyFont="1" applyFill="1"/>
    <xf numFmtId="4" fontId="8" fillId="4" borderId="4" xfId="1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0" fontId="11" fillId="0" borderId="0" xfId="0" applyFont="1" applyFill="1" applyBorder="1" applyAlignment="1"/>
    <xf numFmtId="3" fontId="0" fillId="0" borderId="0" xfId="0" applyNumberFormat="1"/>
    <xf numFmtId="0" fontId="2" fillId="4" borderId="0" xfId="0" applyFont="1" applyFill="1" applyBorder="1" applyAlignment="1">
      <alignment horizontal="center"/>
    </xf>
    <xf numFmtId="17" fontId="0" fillId="0" borderId="0" xfId="0" applyNumberFormat="1" applyAlignment="1">
      <alignment horizontal="left"/>
    </xf>
    <xf numFmtId="17" fontId="8" fillId="4" borderId="4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167" fontId="2" fillId="4" borderId="9" xfId="0" applyNumberFormat="1" applyFont="1" applyFill="1" applyBorder="1" applyAlignment="1">
      <alignment horizontal="center"/>
    </xf>
    <xf numFmtId="165" fontId="3" fillId="0" borderId="7" xfId="2" applyNumberFormat="1" applyFont="1" applyFill="1" applyBorder="1" applyAlignment="1">
      <alignment horizontal="center"/>
    </xf>
    <xf numFmtId="165" fontId="3" fillId="0" borderId="8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9" fontId="8" fillId="4" borderId="4" xfId="2" applyFont="1" applyFill="1" applyBorder="1" applyAlignment="1">
      <alignment horizontal="center"/>
    </xf>
    <xf numFmtId="170" fontId="0" fillId="0" borderId="0" xfId="0" applyNumberFormat="1" applyAlignment="1">
      <alignment horizontal="left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Summary!$A$49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Summary!$A$51:$A$65</c:f>
              <c:numCache>
                <c:formatCode>mmm\-yy</c:formatCode>
                <c:ptCount val="15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</c:numCache>
            </c:numRef>
          </c:cat>
          <c:val>
            <c:numRef>
              <c:f>Summary!$C$51:$C$65</c:f>
              <c:numCache>
                <c:formatCode>_(* #,##0.00_);_(* \(#,##0.00\);_(* "-"??_);_(@_)</c:formatCode>
                <c:ptCount val="15"/>
                <c:pt idx="0">
                  <c:v>173.84700000000001</c:v>
                </c:pt>
                <c:pt idx="1">
                  <c:v>195.333</c:v>
                </c:pt>
                <c:pt idx="2">
                  <c:v>193.55099999999999</c:v>
                </c:pt>
                <c:pt idx="3">
                  <c:v>228.09100000000001</c:v>
                </c:pt>
                <c:pt idx="4">
                  <c:v>257.89999999999998</c:v>
                </c:pt>
                <c:pt idx="5">
                  <c:v>333.37</c:v>
                </c:pt>
                <c:pt idx="6">
                  <c:v>323.49</c:v>
                </c:pt>
                <c:pt idx="7">
                  <c:v>282.52999999999997</c:v>
                </c:pt>
                <c:pt idx="8">
                  <c:v>208.72</c:v>
                </c:pt>
                <c:pt idx="9">
                  <c:v>193.92</c:v>
                </c:pt>
                <c:pt idx="10">
                  <c:v>188.86</c:v>
                </c:pt>
                <c:pt idx="11">
                  <c:v>189.94</c:v>
                </c:pt>
                <c:pt idx="12">
                  <c:v>173.75</c:v>
                </c:pt>
                <c:pt idx="13">
                  <c:v>190.77</c:v>
                </c:pt>
                <c:pt idx="14">
                  <c:v>184.23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Summary!$A$51:$A$65</c:f>
              <c:numCache>
                <c:formatCode>mmm\-yy</c:formatCode>
                <c:ptCount val="15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</c:numCache>
            </c:numRef>
          </c:cat>
          <c:val>
            <c:numRef>
              <c:f>Summary!$B$51:$B$65</c:f>
              <c:numCache>
                <c:formatCode>_(* #,##0.00_);_(* \(#,##0.00\);_(* "-"??_);_(@_)</c:formatCode>
                <c:ptCount val="15"/>
                <c:pt idx="0">
                  <c:v>167.53200000000001</c:v>
                </c:pt>
                <c:pt idx="1">
                  <c:v>190.30600000000001</c:v>
                </c:pt>
                <c:pt idx="2">
                  <c:v>178.22</c:v>
                </c:pt>
                <c:pt idx="3">
                  <c:v>240.625</c:v>
                </c:pt>
                <c:pt idx="4">
                  <c:v>348.57</c:v>
                </c:pt>
                <c:pt idx="5">
                  <c:v>381.34</c:v>
                </c:pt>
                <c:pt idx="6">
                  <c:v>370.12</c:v>
                </c:pt>
                <c:pt idx="7">
                  <c:v>320.39</c:v>
                </c:pt>
                <c:pt idx="8">
                  <c:v>233.34</c:v>
                </c:pt>
                <c:pt idx="9">
                  <c:v>187.14</c:v>
                </c:pt>
                <c:pt idx="10">
                  <c:v>182.02</c:v>
                </c:pt>
                <c:pt idx="11">
                  <c:v>189.96</c:v>
                </c:pt>
                <c:pt idx="12">
                  <c:v>178.97</c:v>
                </c:pt>
                <c:pt idx="13">
                  <c:v>195.96</c:v>
                </c:pt>
                <c:pt idx="14">
                  <c:v>203.05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'Demand Input'!$H$38</c15:sqref>
                        </c15:formulaRef>
                      </c:ext>
                    </c:extLst>
                    <c:strCache>
                      <c:ptCount val="1"/>
                      <c:pt idx="0">
                        <c:v>Percent Change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'Demand Input'!$H$39:$H$53</c15:sqref>
                        </c15:formulaRef>
                      </c:ext>
                    </c:extLst>
                    <c:numCache>
                      <c:formatCode>0%</c:formatCode>
                      <c:ptCount val="15"/>
                      <c:pt idx="0">
                        <c:v>-3.6325044435624412E-2</c:v>
                      </c:pt>
                      <c:pt idx="1">
                        <c:v>-2.573553879784771E-2</c:v>
                      </c:pt>
                      <c:pt idx="2">
                        <c:v>-7.9209097343852466E-2</c:v>
                      </c:pt>
                      <c:pt idx="3">
                        <c:v>5.4951751713132005E-2</c:v>
                      </c:pt>
                      <c:pt idx="4">
                        <c:v>0.35157037611477326</c:v>
                      </c:pt>
                      <c:pt idx="5">
                        <c:v>0.14389417164111939</c:v>
                      </c:pt>
                      <c:pt idx="6">
                        <c:v>0.14414665059198117</c:v>
                      </c:pt>
                      <c:pt idx="7">
                        <c:v>0.13400346865819565</c:v>
                      </c:pt>
                      <c:pt idx="8">
                        <c:v>0.11795707167497127</c:v>
                      </c:pt>
                      <c:pt idx="9">
                        <c:v>-3.4962871287128723E-2</c:v>
                      </c:pt>
                      <c:pt idx="10">
                        <c:v>-3.6217303822937641E-2</c:v>
                      </c:pt>
                      <c:pt idx="11">
                        <c:v>1.0529640939249358E-4</c:v>
                      </c:pt>
                      <c:pt idx="12">
                        <c:v>3.0043165467625893E-2</c:v>
                      </c:pt>
                      <c:pt idx="13">
                        <c:v>2.7205535461550544E-2</c:v>
                      </c:pt>
                      <c:pt idx="14">
                        <c:v>0.10215491505183751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32B4-43F6-A749-DBE2262C56E1}"/>
                  </c:ext>
                </c:extLst>
              </c15:ser>
            </c15:filteredBarSeries>
          </c:ext>
        </c:extLst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Summary!$A$68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052957193364909E-2"/>
          <c:y val="0.22414341965953299"/>
          <c:w val="0.88606349509699156"/>
          <c:h val="0.501344975672428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Summary!$A$70:$A$84</c:f>
              <c:numCache>
                <c:formatCode>mmm\-yy</c:formatCode>
                <c:ptCount val="15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</c:numCache>
            </c:numRef>
          </c:cat>
          <c:val>
            <c:numRef>
              <c:f>Summary!$C$70:$C$84</c:f>
              <c:numCache>
                <c:formatCode>_(* #,##0_);_(* \(#,##0\);_(* "-"??_);_(@_)</c:formatCode>
                <c:ptCount val="15"/>
                <c:pt idx="0">
                  <c:v>111009.96192</c:v>
                </c:pt>
                <c:pt idx="1">
                  <c:v>123525.13140000001</c:v>
                </c:pt>
                <c:pt idx="2">
                  <c:v>113258.78652000001</c:v>
                </c:pt>
                <c:pt idx="3">
                  <c:v>107128.05136</c:v>
                </c:pt>
                <c:pt idx="4">
                  <c:v>144930.45292000001</c:v>
                </c:pt>
                <c:pt idx="5">
                  <c:v>151028.01428</c:v>
                </c:pt>
                <c:pt idx="6">
                  <c:v>143816.33684</c:v>
                </c:pt>
                <c:pt idx="7">
                  <c:v>260607.45612000002</c:v>
                </c:pt>
                <c:pt idx="8">
                  <c:v>173601.36772000001</c:v>
                </c:pt>
                <c:pt idx="9">
                  <c:v>131198.83348</c:v>
                </c:pt>
                <c:pt idx="10">
                  <c:v>170629.38420000003</c:v>
                </c:pt>
                <c:pt idx="11">
                  <c:v>117899.62536000001</c:v>
                </c:pt>
                <c:pt idx="12">
                  <c:v>104204.22408000001</c:v>
                </c:pt>
                <c:pt idx="13">
                  <c:v>116687.49136</c:v>
                </c:pt>
                <c:pt idx="14">
                  <c:v>109598.96464000001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Summary!$A$70:$A$84</c:f>
              <c:numCache>
                <c:formatCode>mmm\-yy</c:formatCode>
                <c:ptCount val="15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</c:numCache>
            </c:numRef>
          </c:cat>
          <c:val>
            <c:numRef>
              <c:f>Summary!$B$70:$B$84</c:f>
              <c:numCache>
                <c:formatCode>_(* #,##0_);_(* \(#,##0\);_(* "-"??_);_(@_)</c:formatCode>
                <c:ptCount val="15"/>
                <c:pt idx="0">
                  <c:v>104204.22408000001</c:v>
                </c:pt>
                <c:pt idx="1">
                  <c:v>116687.49136</c:v>
                </c:pt>
                <c:pt idx="2">
                  <c:v>109598.96464000001</c:v>
                </c:pt>
                <c:pt idx="3">
                  <c:v>109656.01460000001</c:v>
                </c:pt>
                <c:pt idx="4">
                  <c:v>154696.23620000001</c:v>
                </c:pt>
                <c:pt idx="5">
                  <c:v>159889.35336000001</c:v>
                </c:pt>
                <c:pt idx="6">
                  <c:v>160013.98512</c:v>
                </c:pt>
                <c:pt idx="7">
                  <c:v>337995.64084000001</c:v>
                </c:pt>
                <c:pt idx="8">
                  <c:v>243049.08364000003</c:v>
                </c:pt>
                <c:pt idx="9">
                  <c:v>162175.56299999999</c:v>
                </c:pt>
                <c:pt idx="10">
                  <c:v>207737.90356000001</c:v>
                </c:pt>
                <c:pt idx="11">
                  <c:v>124779.79668000001</c:v>
                </c:pt>
                <c:pt idx="12">
                  <c:v>124538.23756000001</c:v>
                </c:pt>
                <c:pt idx="13">
                  <c:v>144510.13676000002</c:v>
                </c:pt>
                <c:pt idx="14">
                  <c:v>136465.79320000001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Summary!$A$87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734811026100767"/>
          <c:y val="0.21266666666666667"/>
          <c:w val="0.87663369480907427"/>
          <c:h val="0.499911238367931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Summary!$A$89:$A$103</c:f>
              <c:numCache>
                <c:formatCode>mmm\-yy</c:formatCode>
                <c:ptCount val="15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</c:numCache>
            </c:numRef>
          </c:cat>
          <c:val>
            <c:numRef>
              <c:f>Summary!$C$89:$C$103</c:f>
              <c:numCache>
                <c:formatCode>_(* #,##0_);_(* \(#,##0\);_(* "-"??_);_(@_)</c:formatCode>
                <c:ptCount val="15"/>
                <c:pt idx="0">
                  <c:v>24891.70464</c:v>
                </c:pt>
                <c:pt idx="1">
                  <c:v>42416.79552</c:v>
                </c:pt>
                <c:pt idx="2">
                  <c:v>33427.880640000003</c:v>
                </c:pt>
                <c:pt idx="3">
                  <c:v>26254.44844</c:v>
                </c:pt>
                <c:pt idx="4">
                  <c:v>33248.873200000002</c:v>
                </c:pt>
                <c:pt idx="5">
                  <c:v>42679.937520000007</c:v>
                </c:pt>
                <c:pt idx="6">
                  <c:v>34036.498319999999</c:v>
                </c:pt>
                <c:pt idx="7">
                  <c:v>86367.775120000006</c:v>
                </c:pt>
                <c:pt idx="8">
                  <c:v>49561.754440000004</c:v>
                </c:pt>
                <c:pt idx="9">
                  <c:v>32261.419520000003</c:v>
                </c:pt>
                <c:pt idx="10">
                  <c:v>66164.871080000012</c:v>
                </c:pt>
                <c:pt idx="11">
                  <c:v>38851.995160000006</c:v>
                </c:pt>
                <c:pt idx="12">
                  <c:v>27184.287240000001</c:v>
                </c:pt>
                <c:pt idx="13">
                  <c:v>52556.783840000004</c:v>
                </c:pt>
                <c:pt idx="14">
                  <c:v>30008.585640000001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Summary!$A$89:$A$103</c:f>
              <c:numCache>
                <c:formatCode>mmm\-yy</c:formatCode>
                <c:ptCount val="15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</c:numCache>
            </c:numRef>
          </c:cat>
          <c:val>
            <c:numRef>
              <c:f>Summary!$B$89:$B$103</c:f>
              <c:numCache>
                <c:formatCode>_(* #,##0_);_(* \(#,##0\);_(* "-"??_);_(@_)</c:formatCode>
                <c:ptCount val="15"/>
                <c:pt idx="0">
                  <c:v>27184.287240000001</c:v>
                </c:pt>
                <c:pt idx="1">
                  <c:v>52556.783840000004</c:v>
                </c:pt>
                <c:pt idx="2">
                  <c:v>30008.585640000001</c:v>
                </c:pt>
                <c:pt idx="3">
                  <c:v>21459.484200000003</c:v>
                </c:pt>
                <c:pt idx="4">
                  <c:v>47687.401080000003</c:v>
                </c:pt>
                <c:pt idx="5">
                  <c:v>33702.69584</c:v>
                </c:pt>
                <c:pt idx="6">
                  <c:v>30630.764560000003</c:v>
                </c:pt>
                <c:pt idx="7">
                  <c:v>87939.966400000005</c:v>
                </c:pt>
                <c:pt idx="8">
                  <c:v>51017.646679999998</c:v>
                </c:pt>
                <c:pt idx="9">
                  <c:v>38090.246920000005</c:v>
                </c:pt>
                <c:pt idx="10">
                  <c:v>72201.814520000014</c:v>
                </c:pt>
                <c:pt idx="11">
                  <c:v>32645.300600000002</c:v>
                </c:pt>
                <c:pt idx="12">
                  <c:v>32987.652720000006</c:v>
                </c:pt>
                <c:pt idx="13">
                  <c:v>37296.185080000003</c:v>
                </c:pt>
                <c:pt idx="14">
                  <c:v>52983.592640000003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Summary!$A$106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Summary!$A$108:$A$122</c:f>
              <c:numCache>
                <c:formatCode>mmm\-yy</c:formatCode>
                <c:ptCount val="15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</c:numCache>
            </c:numRef>
          </c:cat>
          <c:val>
            <c:numRef>
              <c:f>Summary!$C$108:$C$122</c:f>
              <c:numCache>
                <c:formatCode>_(* #,##0_);_(* \(#,##0\);_(* "-"??_);_(@_)</c:formatCode>
                <c:ptCount val="15"/>
                <c:pt idx="0">
                  <c:v>0</c:v>
                </c:pt>
                <c:pt idx="1">
                  <c:v>14013.78</c:v>
                </c:pt>
                <c:pt idx="2">
                  <c:v>0</c:v>
                </c:pt>
                <c:pt idx="3">
                  <c:v>0</c:v>
                </c:pt>
                <c:pt idx="4">
                  <c:v>30443.599999999999</c:v>
                </c:pt>
                <c:pt idx="5">
                  <c:v>0</c:v>
                </c:pt>
                <c:pt idx="6">
                  <c:v>0</c:v>
                </c:pt>
                <c:pt idx="7">
                  <c:v>38376.14</c:v>
                </c:pt>
                <c:pt idx="8">
                  <c:v>0</c:v>
                </c:pt>
                <c:pt idx="9">
                  <c:v>0</c:v>
                </c:pt>
                <c:pt idx="10">
                  <c:v>24784.98</c:v>
                </c:pt>
                <c:pt idx="11">
                  <c:v>0</c:v>
                </c:pt>
                <c:pt idx="12">
                  <c:v>0</c:v>
                </c:pt>
                <c:pt idx="13">
                  <c:v>21965.02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Summary!$A$108:$A$122</c:f>
              <c:numCache>
                <c:formatCode>mmm\-yy</c:formatCode>
                <c:ptCount val="15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</c:numCache>
            </c:numRef>
          </c:cat>
          <c:val>
            <c:numRef>
              <c:f>Summary!$B$108:$B$122</c:f>
              <c:numCache>
                <c:formatCode>_(* #,##0_);_(* \(#,##0\);_(* "-"??_);_(@_)</c:formatCode>
                <c:ptCount val="15"/>
                <c:pt idx="0">
                  <c:v>0</c:v>
                </c:pt>
                <c:pt idx="1">
                  <c:v>21965.02</c:v>
                </c:pt>
                <c:pt idx="2">
                  <c:v>0</c:v>
                </c:pt>
                <c:pt idx="3">
                  <c:v>0</c:v>
                </c:pt>
                <c:pt idx="4">
                  <c:v>27331</c:v>
                </c:pt>
                <c:pt idx="5">
                  <c:v>0</c:v>
                </c:pt>
                <c:pt idx="6">
                  <c:v>0</c:v>
                </c:pt>
                <c:pt idx="7">
                  <c:v>50400.24</c:v>
                </c:pt>
                <c:pt idx="8">
                  <c:v>0</c:v>
                </c:pt>
                <c:pt idx="9">
                  <c:v>0</c:v>
                </c:pt>
                <c:pt idx="10">
                  <c:v>30611.9</c:v>
                </c:pt>
                <c:pt idx="11">
                  <c:v>0</c:v>
                </c:pt>
                <c:pt idx="12">
                  <c:v>0</c:v>
                </c:pt>
                <c:pt idx="13">
                  <c:v>30196.76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2326</xdr:colOff>
      <xdr:row>0</xdr:row>
      <xdr:rowOff>1329697</xdr:rowOff>
    </xdr:from>
    <xdr:to>
      <xdr:col>42</xdr:col>
      <xdr:colOff>600074</xdr:colOff>
      <xdr:row>16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9526</xdr:colOff>
      <xdr:row>16</xdr:row>
      <xdr:rowOff>54088</xdr:rowOff>
    </xdr:from>
    <xdr:to>
      <xdr:col>15</xdr:col>
      <xdr:colOff>400051</xdr:colOff>
      <xdr:row>27</xdr:row>
      <xdr:rowOff>60113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15</xdr:col>
      <xdr:colOff>400050</xdr:colOff>
      <xdr:row>15</xdr:row>
      <xdr:rowOff>161190</xdr:rowOff>
    </xdr:from>
    <xdr:to>
      <xdr:col>31</xdr:col>
      <xdr:colOff>257175</xdr:colOff>
      <xdr:row>26</xdr:row>
      <xdr:rowOff>171449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31</xdr:col>
      <xdr:colOff>219074</xdr:colOff>
      <xdr:row>15</xdr:row>
      <xdr:rowOff>184897</xdr:rowOff>
    </xdr:from>
    <xdr:to>
      <xdr:col>42</xdr:col>
      <xdr:colOff>600074</xdr:colOff>
      <xdr:row>26</xdr:row>
      <xdr:rowOff>184897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>
    <pageSetUpPr fitToPage="1"/>
  </sheetPr>
  <dimension ref="A1:BC122"/>
  <sheetViews>
    <sheetView tabSelected="1" view="pageBreakPreview" topLeftCell="A7" zoomScaleNormal="90" zoomScaleSheetLayoutView="100" workbookViewId="0">
      <selection activeCell="H40" sqref="H40"/>
    </sheetView>
  </sheetViews>
  <sheetFormatPr defaultRowHeight="15" x14ac:dyDescent="0.25"/>
  <cols>
    <col min="1" max="1" width="9.28515625" customWidth="1"/>
    <col min="2" max="2" width="17.7109375" bestFit="1" customWidth="1"/>
    <col min="3" max="3" width="12.7109375" customWidth="1"/>
    <col min="4" max="4" width="9.5703125" customWidth="1"/>
    <col min="5" max="5" width="9.5703125" style="9" customWidth="1"/>
    <col min="6" max="6" width="1" style="9" customWidth="1"/>
    <col min="7" max="7" width="9.5703125" customWidth="1"/>
    <col min="8" max="8" width="9.5703125" style="9" customWidth="1"/>
    <col min="9" max="9" width="1" style="9" customWidth="1"/>
    <col min="10" max="10" width="9.5703125" customWidth="1"/>
    <col min="11" max="11" width="9.5703125" style="9" customWidth="1"/>
    <col min="12" max="12" width="1" style="9" customWidth="1"/>
    <col min="13" max="13" width="9.5703125" customWidth="1"/>
    <col min="14" max="14" width="9.5703125" style="9" customWidth="1"/>
    <col min="15" max="15" width="1" style="9" customWidth="1"/>
    <col min="16" max="16" width="9.5703125" customWidth="1"/>
    <col min="17" max="17" width="9.5703125" style="9" customWidth="1"/>
    <col min="18" max="18" width="1" style="9" customWidth="1"/>
    <col min="19" max="19" width="9.5703125" customWidth="1"/>
    <col min="20" max="20" width="9.5703125" style="9" customWidth="1"/>
    <col min="21" max="21" width="1" style="9" customWidth="1"/>
    <col min="22" max="23" width="9.5703125" customWidth="1"/>
    <col min="24" max="24" width="1" customWidth="1"/>
    <col min="25" max="26" width="9.7109375" bestFit="1" customWidth="1"/>
    <col min="27" max="27" width="1" customWidth="1"/>
    <col min="28" max="29" width="9.7109375" bestFit="1" customWidth="1"/>
    <col min="30" max="30" width="1" customWidth="1"/>
    <col min="31" max="32" width="9.7109375" bestFit="1" customWidth="1"/>
    <col min="33" max="33" width="1" customWidth="1"/>
  </cols>
  <sheetData>
    <row r="1" spans="1:55" ht="108.75" customHeight="1" x14ac:dyDescent="1.1000000000000001">
      <c r="A1" s="46"/>
      <c r="B1" s="57" t="s">
        <v>49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25" x14ac:dyDescent="0.25">
      <c r="A2" s="29"/>
      <c r="B2" s="56" t="s">
        <v>40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28"/>
      <c r="AK2" s="28"/>
      <c r="AL2" s="28"/>
      <c r="AM2" s="28"/>
      <c r="AN2" s="28"/>
      <c r="AO2" s="28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0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0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25">
      <c r="A28" s="28"/>
      <c r="B28" s="13" t="s">
        <v>13</v>
      </c>
      <c r="C28" s="11"/>
      <c r="D28" s="53">
        <v>43881</v>
      </c>
      <c r="E28" s="53"/>
      <c r="F28" s="48"/>
      <c r="G28" s="53">
        <v>43910</v>
      </c>
      <c r="H28" s="53"/>
      <c r="I28" s="48"/>
      <c r="J28" s="53">
        <v>43941</v>
      </c>
      <c r="K28" s="53"/>
      <c r="L28" s="48"/>
      <c r="M28" s="53">
        <v>43971</v>
      </c>
      <c r="N28" s="53"/>
      <c r="O28" s="48"/>
      <c r="P28" s="53">
        <v>44002</v>
      </c>
      <c r="Q28" s="53"/>
      <c r="R28" s="16"/>
      <c r="S28" s="53">
        <v>44032</v>
      </c>
      <c r="T28" s="53"/>
      <c r="U28" s="16"/>
      <c r="V28" s="53">
        <v>44063</v>
      </c>
      <c r="W28" s="53"/>
      <c r="X28" s="11"/>
      <c r="Y28" s="53">
        <v>44094</v>
      </c>
      <c r="Z28" s="53"/>
      <c r="AA28" s="11"/>
      <c r="AB28" s="53">
        <v>44124</v>
      </c>
      <c r="AC28" s="53"/>
      <c r="AD28" s="11"/>
      <c r="AE28" s="53">
        <v>44155</v>
      </c>
      <c r="AF28" s="53"/>
      <c r="AG28" s="11"/>
      <c r="AH28" s="53">
        <v>44185</v>
      </c>
      <c r="AI28" s="53"/>
      <c r="AJ28" s="53">
        <v>44216</v>
      </c>
      <c r="AK28" s="53"/>
      <c r="AL28" s="53">
        <v>44248</v>
      </c>
      <c r="AM28" s="53"/>
      <c r="AN28" s="53">
        <v>44276</v>
      </c>
      <c r="AO28" s="53"/>
      <c r="AP28" s="53">
        <v>44307</v>
      </c>
      <c r="AQ28" s="53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25">
      <c r="A29" s="28"/>
      <c r="B29" s="12" t="str">
        <f>A68</f>
        <v>Residential Demand (Kgal)</v>
      </c>
      <c r="C29" s="11"/>
      <c r="D29" s="15">
        <f>C70</f>
        <v>111009.96192</v>
      </c>
      <c r="E29" s="14">
        <f>B70</f>
        <v>104204.22408000001</v>
      </c>
      <c r="G29" s="15">
        <f>C71</f>
        <v>123525.13140000001</v>
      </c>
      <c r="H29" s="14">
        <f>B71</f>
        <v>116687.49136</v>
      </c>
      <c r="J29" s="15">
        <f>C72</f>
        <v>113258.78652000001</v>
      </c>
      <c r="K29" s="14">
        <f>B72</f>
        <v>109598.96464000001</v>
      </c>
      <c r="M29" s="15">
        <f>C73</f>
        <v>107128.05136</v>
      </c>
      <c r="N29" s="14">
        <f>B73</f>
        <v>109656.01460000001</v>
      </c>
      <c r="P29" s="15">
        <f>C74</f>
        <v>144930.45292000001</v>
      </c>
      <c r="Q29" s="14">
        <f>B74</f>
        <v>154696.23620000001</v>
      </c>
      <c r="S29" s="15">
        <f>C75</f>
        <v>151028.01428</v>
      </c>
      <c r="T29" s="14">
        <f>B75</f>
        <v>159889.35336000001</v>
      </c>
      <c r="V29" s="15">
        <f>C76</f>
        <v>143816.33684</v>
      </c>
      <c r="W29" s="14">
        <f>B76</f>
        <v>160013.98512</v>
      </c>
      <c r="X29" s="28"/>
      <c r="Y29" s="15">
        <f>C77</f>
        <v>260607.45612000002</v>
      </c>
      <c r="Z29" s="14">
        <f>B77</f>
        <v>337995.64084000001</v>
      </c>
      <c r="AA29" s="28"/>
      <c r="AB29" s="15">
        <f>C78</f>
        <v>173601.36772000001</v>
      </c>
      <c r="AC29" s="14">
        <f>B78</f>
        <v>243049.08364000003</v>
      </c>
      <c r="AD29" s="28"/>
      <c r="AE29" s="15">
        <f>C79</f>
        <v>131198.83348</v>
      </c>
      <c r="AF29" s="14">
        <f>B79</f>
        <v>162175.56299999999</v>
      </c>
      <c r="AG29" s="28"/>
      <c r="AH29" s="15">
        <f>C80</f>
        <v>170629.38420000003</v>
      </c>
      <c r="AI29" s="14">
        <f>B80</f>
        <v>207737.90356000001</v>
      </c>
      <c r="AJ29" s="15">
        <f>C81</f>
        <v>117899.62536000001</v>
      </c>
      <c r="AK29" s="15">
        <f>B81</f>
        <v>124779.79668000001</v>
      </c>
      <c r="AL29" s="15">
        <f>C82</f>
        <v>104204.22408000001</v>
      </c>
      <c r="AM29" s="15">
        <f>B82</f>
        <v>124538.23756000001</v>
      </c>
      <c r="AN29" s="15">
        <f>C83</f>
        <v>116687.49136</v>
      </c>
      <c r="AO29" s="15">
        <f>B83</f>
        <v>144510.13676000002</v>
      </c>
      <c r="AP29" s="15">
        <f>C84</f>
        <v>109598.96464000001</v>
      </c>
      <c r="AQ29" s="15">
        <f>B84</f>
        <v>136465.79320000001</v>
      </c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25">
      <c r="A30" s="28"/>
      <c r="B30" s="12" t="str">
        <f>A87</f>
        <v>Non-Residential Demand (Kgal)</v>
      </c>
      <c r="C30" s="11"/>
      <c r="D30" s="15">
        <f>C89</f>
        <v>24891.70464</v>
      </c>
      <c r="E30" s="14">
        <f>B89</f>
        <v>27184.287240000001</v>
      </c>
      <c r="G30" s="15">
        <f>C90</f>
        <v>42416.79552</v>
      </c>
      <c r="H30" s="14">
        <f>B90</f>
        <v>52556.783840000004</v>
      </c>
      <c r="J30" s="15">
        <f>C91</f>
        <v>33427.880640000003</v>
      </c>
      <c r="K30" s="14">
        <f>B91</f>
        <v>30008.585640000001</v>
      </c>
      <c r="M30" s="15">
        <f>C92</f>
        <v>26254.44844</v>
      </c>
      <c r="N30" s="14">
        <f>B92</f>
        <v>21459.484200000003</v>
      </c>
      <c r="P30" s="15">
        <f>C93</f>
        <v>33248.873200000002</v>
      </c>
      <c r="Q30" s="14">
        <f>B93</f>
        <v>47687.401080000003</v>
      </c>
      <c r="S30" s="15">
        <f>C94</f>
        <v>42679.937520000007</v>
      </c>
      <c r="T30" s="14">
        <f>B94</f>
        <v>33702.69584</v>
      </c>
      <c r="V30" s="15">
        <f>C95</f>
        <v>34036.498319999999</v>
      </c>
      <c r="W30" s="14">
        <f>B95</f>
        <v>30630.764560000003</v>
      </c>
      <c r="X30" s="28"/>
      <c r="Y30" s="15">
        <f>C96</f>
        <v>86367.775120000006</v>
      </c>
      <c r="Z30" s="14">
        <f>B96</f>
        <v>87939.966400000005</v>
      </c>
      <c r="AA30" s="28"/>
      <c r="AB30" s="15">
        <f>C97</f>
        <v>49561.754440000004</v>
      </c>
      <c r="AC30" s="14">
        <f>B97</f>
        <v>51017.646679999998</v>
      </c>
      <c r="AD30" s="28"/>
      <c r="AE30" s="15">
        <f>C98</f>
        <v>32261.419520000003</v>
      </c>
      <c r="AF30" s="14">
        <f>B98</f>
        <v>38090.246920000005</v>
      </c>
      <c r="AG30" s="28"/>
      <c r="AH30" s="15">
        <f>C99</f>
        <v>66164.871080000012</v>
      </c>
      <c r="AI30" s="14">
        <f>B99</f>
        <v>72201.814520000014</v>
      </c>
      <c r="AJ30" s="15">
        <f>C100</f>
        <v>38851.995160000006</v>
      </c>
      <c r="AK30" s="14">
        <f>B100</f>
        <v>32645.300600000002</v>
      </c>
      <c r="AL30" s="15">
        <f>C101</f>
        <v>27184.287240000001</v>
      </c>
      <c r="AM30" s="14">
        <f>B101</f>
        <v>32987.652720000006</v>
      </c>
      <c r="AN30" s="15">
        <f>C102</f>
        <v>52556.783840000004</v>
      </c>
      <c r="AO30" s="14">
        <f>B102</f>
        <v>37296.185080000003</v>
      </c>
      <c r="AP30" s="15">
        <f>C103</f>
        <v>30008.585640000001</v>
      </c>
      <c r="AQ30" s="14">
        <f>B103</f>
        <v>52983.592640000003</v>
      </c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25">
      <c r="A31" s="28"/>
      <c r="B31" s="12" t="str">
        <f>A106</f>
        <v>Wholesale Demand (Kgal)</v>
      </c>
      <c r="C31" s="11"/>
      <c r="D31" s="15">
        <f>C108</f>
        <v>0</v>
      </c>
      <c r="E31" s="14">
        <f>B108</f>
        <v>0</v>
      </c>
      <c r="G31" s="15">
        <f>C109</f>
        <v>14013.78</v>
      </c>
      <c r="H31" s="14">
        <f>B109</f>
        <v>21965.02</v>
      </c>
      <c r="J31" s="15">
        <f>C110</f>
        <v>0</v>
      </c>
      <c r="K31" s="14">
        <f>B110</f>
        <v>0</v>
      </c>
      <c r="M31" s="15">
        <f>C111</f>
        <v>0</v>
      </c>
      <c r="N31" s="14">
        <f>B111</f>
        <v>0</v>
      </c>
      <c r="P31" s="15">
        <f>C112</f>
        <v>30443.599999999999</v>
      </c>
      <c r="Q31" s="14">
        <f>B112</f>
        <v>27331</v>
      </c>
      <c r="S31" s="15">
        <f>C113</f>
        <v>0</v>
      </c>
      <c r="T31" s="14">
        <f>B113</f>
        <v>0</v>
      </c>
      <c r="V31" s="15">
        <f>C114</f>
        <v>0</v>
      </c>
      <c r="W31" s="14">
        <f>B114</f>
        <v>0</v>
      </c>
      <c r="X31" s="28"/>
      <c r="Y31" s="15">
        <f>C115</f>
        <v>38376.14</v>
      </c>
      <c r="Z31" s="14">
        <f>B115</f>
        <v>50400.24</v>
      </c>
      <c r="AA31" s="28"/>
      <c r="AB31" s="15">
        <f>C116</f>
        <v>0</v>
      </c>
      <c r="AC31" s="14">
        <f>B116</f>
        <v>0</v>
      </c>
      <c r="AD31" s="28"/>
      <c r="AE31" s="15">
        <f>C117</f>
        <v>0</v>
      </c>
      <c r="AF31" s="14">
        <f>B117</f>
        <v>0</v>
      </c>
      <c r="AG31" s="28"/>
      <c r="AH31" s="15">
        <f>C118</f>
        <v>24784.98</v>
      </c>
      <c r="AI31" s="14">
        <f>B118</f>
        <v>30611.9</v>
      </c>
      <c r="AJ31" s="15">
        <f>C119</f>
        <v>0</v>
      </c>
      <c r="AK31" s="14">
        <f>B119</f>
        <v>0</v>
      </c>
      <c r="AL31" s="15">
        <f>C120</f>
        <v>0</v>
      </c>
      <c r="AM31" s="14">
        <f>B120</f>
        <v>0</v>
      </c>
      <c r="AN31" s="15">
        <f>C121</f>
        <v>21965.02</v>
      </c>
      <c r="AO31" s="15">
        <f>B121</f>
        <v>30196.76</v>
      </c>
      <c r="AP31" s="15">
        <f>C122</f>
        <v>0</v>
      </c>
      <c r="AQ31" s="15">
        <f>B122</f>
        <v>0</v>
      </c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25">
      <c r="A32" s="28"/>
      <c r="B32" s="12" t="str">
        <f>"Total Demand ("&amp;'Demand Input'!$C$9&amp;")"</f>
        <v>Total Demand (Kgal)</v>
      </c>
      <c r="C32" s="11"/>
      <c r="D32" s="15">
        <f>SUM(D29:D31)</f>
        <v>135901.66656000001</v>
      </c>
      <c r="E32" s="14">
        <f>SUM(E29:E31)</f>
        <v>131388.51132000002</v>
      </c>
      <c r="G32" s="15">
        <f>SUM(G29:G31)</f>
        <v>179955.70692</v>
      </c>
      <c r="H32" s="14">
        <f>SUM(H29:H31)</f>
        <v>191209.29519999999</v>
      </c>
      <c r="J32" s="15">
        <f>SUM(J29:J31)</f>
        <v>146686.66716000001</v>
      </c>
      <c r="K32" s="14">
        <f>SUM(K29:K31)</f>
        <v>139607.55028</v>
      </c>
      <c r="M32" s="15">
        <f>SUM(M29:M31)</f>
        <v>133382.49979999999</v>
      </c>
      <c r="N32" s="14">
        <f>SUM(N29:N31)</f>
        <v>131115.4988</v>
      </c>
      <c r="P32" s="15">
        <f>SUM(P29:P31)</f>
        <v>208622.92612000002</v>
      </c>
      <c r="Q32" s="14">
        <f>SUM(Q29:Q31)</f>
        <v>229714.63728000002</v>
      </c>
      <c r="S32" s="15">
        <f>SUM(S29:S31)</f>
        <v>193707.95180000001</v>
      </c>
      <c r="T32" s="14">
        <f>SUM(T29:T31)</f>
        <v>193592.04920000001</v>
      </c>
      <c r="V32" s="15">
        <f>SUM(V29:V31)</f>
        <v>177852.83516000002</v>
      </c>
      <c r="W32" s="14">
        <f>SUM(W29:W31)</f>
        <v>190644.74968000001</v>
      </c>
      <c r="X32" s="28"/>
      <c r="Y32" s="15">
        <f>SUM(Y29:Y31)</f>
        <v>385351.37124000001</v>
      </c>
      <c r="Z32" s="14">
        <f>SUM(Z29:Z31)</f>
        <v>476335.84724000003</v>
      </c>
      <c r="AA32" s="28"/>
      <c r="AB32" s="15">
        <f>SUM(AB29:AB31)</f>
        <v>223163.12216000003</v>
      </c>
      <c r="AC32" s="14">
        <f>SUM(AC29:AC31)</f>
        <v>294066.73032000003</v>
      </c>
      <c r="AD32" s="28"/>
      <c r="AE32" s="15">
        <f>SUM(AE29:AE31)</f>
        <v>163460.253</v>
      </c>
      <c r="AF32" s="14">
        <f>SUM(AF29:AF31)</f>
        <v>200265.80992</v>
      </c>
      <c r="AG32" s="28"/>
      <c r="AH32" s="15">
        <f t="shared" ref="AH32:AM32" si="0">SUM(AH29:AH31)</f>
        <v>261579.23528000005</v>
      </c>
      <c r="AI32" s="14">
        <f t="shared" si="0"/>
        <v>310551.61808000004</v>
      </c>
      <c r="AJ32" s="15">
        <f t="shared" si="0"/>
        <v>156751.62052</v>
      </c>
      <c r="AK32" s="14">
        <f t="shared" si="0"/>
        <v>157425.09728000002</v>
      </c>
      <c r="AL32" s="15">
        <f t="shared" si="0"/>
        <v>131388.51132000002</v>
      </c>
      <c r="AM32" s="14">
        <f t="shared" si="0"/>
        <v>157525.89028000002</v>
      </c>
      <c r="AN32" s="15">
        <f t="shared" ref="AN32:AO32" si="1">SUM(AN29:AN31)</f>
        <v>191209.29519999999</v>
      </c>
      <c r="AO32" s="14">
        <f t="shared" si="1"/>
        <v>212003.08184000003</v>
      </c>
      <c r="AP32" s="15">
        <f t="shared" ref="AP32:AQ32" si="2">SUM(AP29:AP31)</f>
        <v>139607.55028</v>
      </c>
      <c r="AQ32" s="14">
        <f t="shared" si="2"/>
        <v>189449.38584</v>
      </c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25">
      <c r="A33" s="28"/>
      <c r="B33" s="12" t="s">
        <v>7</v>
      </c>
      <c r="C33" s="11"/>
      <c r="D33" s="52">
        <f>E32/D32-1</f>
        <v>-3.3208976418309444E-2</v>
      </c>
      <c r="E33" s="52"/>
      <c r="F33" s="19"/>
      <c r="G33" s="52">
        <f>H32/G32-1</f>
        <v>6.2535323122610453E-2</v>
      </c>
      <c r="H33" s="52"/>
      <c r="I33" s="19"/>
      <c r="J33" s="52">
        <f>K32/J32-1</f>
        <v>-4.8260124911546298E-2</v>
      </c>
      <c r="K33" s="52"/>
      <c r="L33" s="19"/>
      <c r="M33" s="52">
        <f>N32/M32-1</f>
        <v>-1.6996240161934573E-2</v>
      </c>
      <c r="N33" s="52"/>
      <c r="O33" s="19"/>
      <c r="P33" s="52">
        <f>Q32/P32-1</f>
        <v>0.10109968042471063</v>
      </c>
      <c r="Q33" s="52"/>
      <c r="R33" s="19"/>
      <c r="S33" s="52">
        <f>T32/S32-1</f>
        <v>-5.9833682057441884E-4</v>
      </c>
      <c r="T33" s="52"/>
      <c r="U33" s="19"/>
      <c r="V33" s="52">
        <f>W32/V32-1</f>
        <v>7.1924152957652421E-2</v>
      </c>
      <c r="W33" s="52"/>
      <c r="X33" s="11"/>
      <c r="Y33" s="52">
        <f>Z32/Y32-1</f>
        <v>0.23610782986765111</v>
      </c>
      <c r="Z33" s="52"/>
      <c r="AA33" s="28"/>
      <c r="AB33" s="52">
        <f>AC32/AB32-1</f>
        <v>0.31772099025019296</v>
      </c>
      <c r="AC33" s="52"/>
      <c r="AD33" s="11"/>
      <c r="AE33" s="52">
        <f>AF32/AE32-1</f>
        <v>0.22516517773895783</v>
      </c>
      <c r="AF33" s="52"/>
      <c r="AG33" s="11"/>
      <c r="AH33" s="52">
        <f>AI32/AH32-1</f>
        <v>0.18721815876393588</v>
      </c>
      <c r="AI33" s="52"/>
      <c r="AJ33" s="54">
        <f>AK32/AJ32-1</f>
        <v>4.2964580383020312E-3</v>
      </c>
      <c r="AK33" s="55"/>
      <c r="AL33" s="54">
        <f>AM32/AL32-1</f>
        <v>0.19893199715416343</v>
      </c>
      <c r="AM33" s="55"/>
      <c r="AN33" s="54">
        <f>AO32/AN32-1</f>
        <v>0.10874882739487246</v>
      </c>
      <c r="AO33" s="55"/>
      <c r="AP33" s="54">
        <f>AQ32/AP32-1</f>
        <v>0.35701389688477536</v>
      </c>
      <c r="AQ33" s="55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s="9" customFormat="1" ht="6" customHeight="1" x14ac:dyDescent="0.25">
      <c r="A34" s="28"/>
      <c r="B34" s="11"/>
      <c r="C34" s="11"/>
      <c r="D34" s="11"/>
      <c r="E34" s="11"/>
      <c r="F34" s="16"/>
      <c r="G34" s="11"/>
      <c r="H34" s="11"/>
      <c r="I34" s="16"/>
      <c r="J34" s="11"/>
      <c r="K34" s="11"/>
      <c r="L34" s="16"/>
      <c r="M34" s="11"/>
      <c r="N34" s="11"/>
      <c r="O34" s="16"/>
      <c r="P34" s="11"/>
      <c r="Q34" s="11"/>
      <c r="R34" s="16"/>
      <c r="S34" s="11"/>
      <c r="T34" s="11"/>
      <c r="U34" s="16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25">
      <c r="A35" s="28"/>
      <c r="B35" s="69" t="s">
        <v>43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28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s="9" customFormat="1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s="9" customFormat="1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x14ac:dyDescent="0.25">
      <c r="Z46" s="30"/>
      <c r="AA46" s="30"/>
      <c r="AB46" s="30"/>
      <c r="AC46" s="30"/>
      <c r="AD46" s="30"/>
      <c r="AE46" s="30"/>
    </row>
    <row r="47" spans="1:55" s="9" customFormat="1" x14ac:dyDescent="0.25">
      <c r="A47" s="51" t="s">
        <v>14</v>
      </c>
      <c r="B47" s="51"/>
      <c r="C47" s="51"/>
      <c r="D47" s="51"/>
      <c r="E47" s="51"/>
      <c r="Z47" s="30"/>
      <c r="AA47" s="30"/>
      <c r="AB47" s="30"/>
      <c r="AC47" s="30"/>
      <c r="AD47" s="30"/>
      <c r="AE47" s="30"/>
    </row>
    <row r="48" spans="1:55" s="9" customFormat="1" x14ac:dyDescent="0.25">
      <c r="A48" s="24"/>
      <c r="B48" s="24"/>
      <c r="C48" s="24"/>
      <c r="D48" s="24"/>
      <c r="E48" s="24"/>
      <c r="Z48" s="30"/>
      <c r="AA48" s="30"/>
      <c r="AB48" s="30"/>
      <c r="AC48" s="30"/>
      <c r="AD48" s="30"/>
      <c r="AE48" s="30"/>
    </row>
    <row r="49" spans="1:31" x14ac:dyDescent="0.25">
      <c r="A49" s="7" t="str">
        <f>"Water Produced ("&amp;'Demand Input'!$C$10&amp;")"</f>
        <v>Water Produced (MG)</v>
      </c>
      <c r="Z49" s="30"/>
      <c r="AA49" s="30"/>
      <c r="AB49" s="30"/>
      <c r="AC49" s="30"/>
      <c r="AD49" s="30"/>
      <c r="AE49" s="30"/>
    </row>
    <row r="50" spans="1:31" x14ac:dyDescent="0.25">
      <c r="A50" s="2" t="s">
        <v>2</v>
      </c>
      <c r="B50" s="3" t="s">
        <v>0</v>
      </c>
      <c r="C50" s="3" t="s">
        <v>1</v>
      </c>
      <c r="D50" t="s">
        <v>6</v>
      </c>
      <c r="Z50" s="30"/>
      <c r="AA50" s="30"/>
      <c r="AB50" s="30"/>
      <c r="AC50" s="30"/>
      <c r="AD50" s="30"/>
      <c r="AE50" s="30"/>
    </row>
    <row r="51" spans="1:31" x14ac:dyDescent="0.25">
      <c r="A51" s="49">
        <v>43862</v>
      </c>
      <c r="B51" s="23">
        <f>'Demand Input'!F39</f>
        <v>167.53200000000001</v>
      </c>
      <c r="C51" s="23">
        <f>'Demand Input'!D39</f>
        <v>173.84700000000001</v>
      </c>
      <c r="D51" s="5">
        <f t="shared" ref="D51:D58" si="3">B51/C51</f>
        <v>0.96367495556437555</v>
      </c>
      <c r="E51" s="5"/>
      <c r="F51" s="5"/>
      <c r="I51" s="5"/>
      <c r="L51" s="5"/>
      <c r="O51" s="5"/>
      <c r="R51" s="5"/>
      <c r="U51" s="5"/>
    </row>
    <row r="52" spans="1:31" x14ac:dyDescent="0.25">
      <c r="A52" s="49">
        <v>43891</v>
      </c>
      <c r="B52" s="23">
        <f>'Demand Input'!F40</f>
        <v>190.30600000000001</v>
      </c>
      <c r="C52" s="23">
        <f>'Demand Input'!D40</f>
        <v>195.333</v>
      </c>
      <c r="D52" s="5">
        <f t="shared" si="3"/>
        <v>0.97426446120215227</v>
      </c>
      <c r="E52" s="5"/>
      <c r="F52" s="5"/>
      <c r="I52" s="5"/>
      <c r="L52" s="5"/>
      <c r="O52" s="5"/>
      <c r="R52" s="5"/>
      <c r="U52" s="5"/>
    </row>
    <row r="53" spans="1:31" x14ac:dyDescent="0.25">
      <c r="A53" s="49">
        <v>43922</v>
      </c>
      <c r="B53" s="23">
        <f>'Demand Input'!F41</f>
        <v>178.22</v>
      </c>
      <c r="C53" s="23">
        <f>'Demand Input'!D41</f>
        <v>193.55099999999999</v>
      </c>
      <c r="D53" s="5">
        <f t="shared" si="3"/>
        <v>0.92079090265614749</v>
      </c>
      <c r="E53" s="5"/>
      <c r="F53" s="5"/>
      <c r="I53" s="5"/>
      <c r="L53" s="5"/>
      <c r="O53" s="5"/>
      <c r="R53" s="5"/>
      <c r="U53" s="5"/>
    </row>
    <row r="54" spans="1:31" x14ac:dyDescent="0.25">
      <c r="A54" s="49">
        <v>43952</v>
      </c>
      <c r="B54" s="23">
        <f>'Demand Input'!F42</f>
        <v>240.625</v>
      </c>
      <c r="C54" s="23">
        <f>'Demand Input'!D42</f>
        <v>228.09100000000001</v>
      </c>
      <c r="D54" s="5">
        <f t="shared" si="3"/>
        <v>1.0549517517131319</v>
      </c>
      <c r="E54" s="5"/>
      <c r="F54" s="5"/>
      <c r="I54" s="5"/>
      <c r="L54" s="5"/>
      <c r="O54" s="5"/>
      <c r="R54" s="5"/>
      <c r="U54" s="5"/>
    </row>
    <row r="55" spans="1:31" x14ac:dyDescent="0.25">
      <c r="A55" s="49">
        <v>43983</v>
      </c>
      <c r="B55" s="23">
        <f>'Demand Input'!F43</f>
        <v>348.57</v>
      </c>
      <c r="C55" s="23">
        <f>'Demand Input'!D43</f>
        <v>257.89999999999998</v>
      </c>
      <c r="D55" s="5">
        <f t="shared" si="3"/>
        <v>1.3515703761147733</v>
      </c>
      <c r="E55" s="5"/>
      <c r="F55" s="5"/>
      <c r="I55" s="5"/>
      <c r="L55" s="5"/>
      <c r="O55" s="5"/>
      <c r="R55" s="5"/>
      <c r="U55" s="5"/>
    </row>
    <row r="56" spans="1:31" x14ac:dyDescent="0.25">
      <c r="A56" s="49">
        <v>44013</v>
      </c>
      <c r="B56" s="23">
        <f>'Demand Input'!F44</f>
        <v>381.34</v>
      </c>
      <c r="C56" s="23">
        <f>'Demand Input'!D44</f>
        <v>333.37</v>
      </c>
      <c r="D56" s="5">
        <f t="shared" si="3"/>
        <v>1.1438941716411193</v>
      </c>
      <c r="E56" s="5"/>
      <c r="F56" s="5"/>
      <c r="I56" s="5"/>
      <c r="L56" s="5"/>
      <c r="O56" s="5"/>
      <c r="R56" s="5"/>
      <c r="U56" s="5"/>
    </row>
    <row r="57" spans="1:31" x14ac:dyDescent="0.25">
      <c r="A57" s="49">
        <v>44044</v>
      </c>
      <c r="B57" s="23">
        <f>'Demand Input'!F45</f>
        <v>370.12</v>
      </c>
      <c r="C57" s="23">
        <f>'Demand Input'!D45</f>
        <v>323.49</v>
      </c>
      <c r="D57" s="5">
        <f t="shared" si="3"/>
        <v>1.1441466505919813</v>
      </c>
      <c r="E57" s="5"/>
      <c r="F57" s="5"/>
      <c r="I57" s="5"/>
      <c r="L57" s="5"/>
      <c r="O57" s="5"/>
      <c r="R57" s="5"/>
      <c r="U57" s="5"/>
    </row>
    <row r="58" spans="1:31" s="9" customFormat="1" x14ac:dyDescent="0.25">
      <c r="A58" s="49">
        <v>44075</v>
      </c>
      <c r="B58" s="23">
        <f>'Demand Input'!F46</f>
        <v>320.39</v>
      </c>
      <c r="C58" s="23">
        <f>'Demand Input'!D46</f>
        <v>282.52999999999997</v>
      </c>
      <c r="D58" s="5">
        <f t="shared" si="3"/>
        <v>1.1340034686581957</v>
      </c>
      <c r="E58" s="5"/>
      <c r="F58" s="5"/>
      <c r="I58" s="5"/>
      <c r="L58" s="5"/>
      <c r="O58" s="5"/>
      <c r="R58" s="5"/>
      <c r="U58" s="5"/>
    </row>
    <row r="59" spans="1:31" s="9" customFormat="1" x14ac:dyDescent="0.25">
      <c r="A59" s="49">
        <v>44105</v>
      </c>
      <c r="B59" s="23">
        <f>'Demand Input'!F47</f>
        <v>233.34</v>
      </c>
      <c r="C59" s="23">
        <f>'Demand Input'!D47</f>
        <v>208.72</v>
      </c>
      <c r="D59" s="5">
        <f t="shared" ref="D59:D61" si="4">B59/C59</f>
        <v>1.1179570716749714</v>
      </c>
      <c r="E59" s="5"/>
      <c r="F59" s="5"/>
      <c r="I59" s="5"/>
      <c r="L59" s="5"/>
      <c r="O59" s="5"/>
      <c r="R59" s="5"/>
      <c r="U59" s="5"/>
    </row>
    <row r="60" spans="1:31" s="9" customFormat="1" x14ac:dyDescent="0.25">
      <c r="A60" s="49">
        <v>44136</v>
      </c>
      <c r="B60" s="23">
        <f>'Demand Input'!F48</f>
        <v>187.14</v>
      </c>
      <c r="C60" s="23">
        <f>'Demand Input'!D48</f>
        <v>193.92</v>
      </c>
      <c r="D60" s="5">
        <f t="shared" si="4"/>
        <v>0.96503712871287128</v>
      </c>
      <c r="E60" s="5"/>
      <c r="F60" s="5"/>
      <c r="I60" s="5"/>
      <c r="L60" s="5"/>
      <c r="O60" s="5"/>
      <c r="R60" s="5"/>
      <c r="U60" s="5"/>
    </row>
    <row r="61" spans="1:31" s="9" customFormat="1" x14ac:dyDescent="0.25">
      <c r="A61" s="49">
        <v>44166</v>
      </c>
      <c r="B61" s="23">
        <f>'Demand Input'!F49</f>
        <v>182.02</v>
      </c>
      <c r="C61" s="23">
        <f>'Demand Input'!D49</f>
        <v>188.86</v>
      </c>
      <c r="D61" s="5">
        <f t="shared" si="4"/>
        <v>0.96378269617706236</v>
      </c>
      <c r="E61" s="5"/>
      <c r="F61" s="5"/>
      <c r="I61" s="5"/>
      <c r="L61" s="5"/>
      <c r="O61" s="5"/>
      <c r="R61" s="5"/>
      <c r="U61" s="5"/>
    </row>
    <row r="62" spans="1:31" s="9" customFormat="1" x14ac:dyDescent="0.25">
      <c r="A62" s="49">
        <v>44197</v>
      </c>
      <c r="B62" s="23">
        <f>'Demand Input'!F50</f>
        <v>189.96</v>
      </c>
      <c r="C62" s="23">
        <f>'Demand Input'!D50</f>
        <v>189.94</v>
      </c>
      <c r="D62" s="5">
        <f t="shared" ref="D62:D63" si="5">B62/C62</f>
        <v>1.0001052964093924</v>
      </c>
      <c r="E62" s="5"/>
      <c r="F62" s="5"/>
      <c r="I62" s="5"/>
      <c r="L62" s="5"/>
      <c r="O62" s="5"/>
      <c r="R62" s="5"/>
      <c r="U62" s="5"/>
    </row>
    <row r="63" spans="1:31" s="9" customFormat="1" x14ac:dyDescent="0.25">
      <c r="A63" s="49">
        <v>44228</v>
      </c>
      <c r="B63" s="23">
        <f>'Demand Input'!F51</f>
        <v>178.97</v>
      </c>
      <c r="C63" s="23">
        <f>'Demand Input'!D51</f>
        <v>173.75</v>
      </c>
      <c r="D63" s="5">
        <f t="shared" si="5"/>
        <v>1.0300431654676259</v>
      </c>
      <c r="E63" s="5"/>
      <c r="F63" s="5"/>
      <c r="I63" s="5"/>
      <c r="L63" s="5"/>
      <c r="O63" s="5"/>
      <c r="R63" s="5"/>
      <c r="U63" s="5"/>
    </row>
    <row r="64" spans="1:31" s="9" customFormat="1" x14ac:dyDescent="0.25">
      <c r="A64" s="49">
        <v>44256</v>
      </c>
      <c r="B64" s="23">
        <f>'Demand Input'!F52</f>
        <v>195.96</v>
      </c>
      <c r="C64" s="23">
        <f>'Demand Input'!D52</f>
        <v>190.77</v>
      </c>
      <c r="D64" s="5">
        <f t="shared" ref="D64" si="6">B64/C64</f>
        <v>1.0272055354615506</v>
      </c>
      <c r="E64" s="5"/>
      <c r="F64" s="5"/>
      <c r="I64" s="5"/>
      <c r="L64" s="5"/>
      <c r="O64" s="5"/>
      <c r="R64" s="5"/>
      <c r="U64" s="5"/>
    </row>
    <row r="65" spans="1:21" s="9" customFormat="1" x14ac:dyDescent="0.25">
      <c r="A65" s="49">
        <v>44287</v>
      </c>
      <c r="B65" s="23">
        <f>'Demand Input'!F53</f>
        <v>203.05</v>
      </c>
      <c r="C65" s="23">
        <f>'Demand Input'!D53</f>
        <v>184.23</v>
      </c>
      <c r="D65" s="5">
        <f t="shared" ref="D65" si="7">B65/C65</f>
        <v>1.1021549150518375</v>
      </c>
      <c r="E65" s="5"/>
      <c r="F65" s="5"/>
      <c r="I65" s="5"/>
      <c r="L65" s="5"/>
      <c r="O65" s="5"/>
      <c r="R65" s="5"/>
      <c r="U65" s="5"/>
    </row>
    <row r="66" spans="1:21" s="9" customFormat="1" x14ac:dyDescent="0.25">
      <c r="A66" s="49"/>
      <c r="B66" s="23"/>
      <c r="C66" s="23"/>
      <c r="D66" s="5"/>
      <c r="E66" s="5"/>
      <c r="F66" s="5"/>
      <c r="I66" s="5"/>
      <c r="L66" s="5"/>
      <c r="O66" s="5"/>
      <c r="R66" s="5"/>
      <c r="U66" s="5"/>
    </row>
    <row r="68" spans="1:21" x14ac:dyDescent="0.25">
      <c r="A68" s="7" t="str">
        <f>"Residential Demand ("&amp;'Demand Input'!$C$9&amp;")"</f>
        <v>Residential Demand (Kgal)</v>
      </c>
    </row>
    <row r="69" spans="1:21" x14ac:dyDescent="0.25">
      <c r="A69" s="2" t="s">
        <v>2</v>
      </c>
      <c r="B69" s="3" t="s">
        <v>0</v>
      </c>
      <c r="C69" s="3" t="s">
        <v>1</v>
      </c>
    </row>
    <row r="70" spans="1:21" x14ac:dyDescent="0.25">
      <c r="A70" s="49">
        <v>43862</v>
      </c>
      <c r="B70" s="6">
        <f>'Demand Input'!F18</f>
        <v>104204.22408000001</v>
      </c>
      <c r="C70" s="6">
        <f>'Demand Input'!B18</f>
        <v>111009.96192</v>
      </c>
      <c r="D70" s="4">
        <f>B70/C70</f>
        <v>0.93869254864798002</v>
      </c>
      <c r="E70" s="4"/>
      <c r="F70" s="4"/>
      <c r="I70" s="4"/>
      <c r="L70" s="4"/>
      <c r="O70" s="4"/>
      <c r="R70" s="4"/>
      <c r="U70" s="4"/>
    </row>
    <row r="71" spans="1:21" x14ac:dyDescent="0.25">
      <c r="A71" s="49">
        <v>43891</v>
      </c>
      <c r="B71" s="6">
        <f>'Demand Input'!F19</f>
        <v>116687.49136</v>
      </c>
      <c r="C71" s="6">
        <f>'Demand Input'!B19</f>
        <v>123525.13140000001</v>
      </c>
      <c r="D71" s="4">
        <f t="shared" ref="D71:D77" si="8">B71/C71</f>
        <v>0.94464575781054372</v>
      </c>
      <c r="E71" s="4"/>
      <c r="F71" s="4"/>
      <c r="I71" s="4"/>
      <c r="L71" s="4"/>
      <c r="O71" s="4"/>
      <c r="R71" s="4"/>
      <c r="U71" s="4"/>
    </row>
    <row r="72" spans="1:21" x14ac:dyDescent="0.25">
      <c r="A72" s="49">
        <v>43922</v>
      </c>
      <c r="B72" s="6">
        <f>'Demand Input'!F20</f>
        <v>109598.96464000001</v>
      </c>
      <c r="C72" s="6">
        <f>'Demand Input'!B20</f>
        <v>113258.78652000001</v>
      </c>
      <c r="D72" s="4">
        <f t="shared" si="8"/>
        <v>0.9676861990804243</v>
      </c>
      <c r="E72" s="4"/>
      <c r="F72" s="4"/>
      <c r="I72" s="4"/>
      <c r="L72" s="4"/>
      <c r="O72" s="4"/>
      <c r="R72" s="4"/>
      <c r="U72" s="4"/>
    </row>
    <row r="73" spans="1:21" x14ac:dyDescent="0.25">
      <c r="A73" s="49">
        <v>43952</v>
      </c>
      <c r="B73" s="6">
        <f>'Demand Input'!F21</f>
        <v>109656.01460000001</v>
      </c>
      <c r="C73" s="6">
        <f>'Demand Input'!B21</f>
        <v>107128.05136</v>
      </c>
      <c r="D73" s="4">
        <f t="shared" si="8"/>
        <v>1.0235975844599738</v>
      </c>
      <c r="E73" s="4"/>
      <c r="F73" s="4"/>
      <c r="I73" s="4"/>
      <c r="L73" s="4"/>
      <c r="O73" s="4"/>
      <c r="R73" s="4"/>
      <c r="U73" s="4"/>
    </row>
    <row r="74" spans="1:21" x14ac:dyDescent="0.25">
      <c r="A74" s="49">
        <v>43983</v>
      </c>
      <c r="B74" s="6">
        <f>'Demand Input'!F22</f>
        <v>154696.23620000001</v>
      </c>
      <c r="C74" s="6">
        <f>'Demand Input'!B22</f>
        <v>144930.45292000001</v>
      </c>
      <c r="D74" s="4">
        <f t="shared" si="8"/>
        <v>1.0673825485482378</v>
      </c>
      <c r="E74" s="4"/>
      <c r="F74" s="4"/>
      <c r="I74" s="4"/>
      <c r="L74" s="4"/>
      <c r="O74" s="4"/>
      <c r="R74" s="4"/>
      <c r="U74" s="4"/>
    </row>
    <row r="75" spans="1:21" x14ac:dyDescent="0.25">
      <c r="A75" s="49">
        <v>44013</v>
      </c>
      <c r="B75" s="6">
        <f>'Demand Input'!F23</f>
        <v>159889.35336000001</v>
      </c>
      <c r="C75" s="6">
        <f>'Demand Input'!B23</f>
        <v>151028.01428</v>
      </c>
      <c r="D75" s="4">
        <f t="shared" si="8"/>
        <v>1.0586734793690091</v>
      </c>
      <c r="E75" s="4"/>
      <c r="F75" s="4"/>
      <c r="I75" s="4"/>
      <c r="L75" s="4"/>
      <c r="O75" s="4"/>
      <c r="R75" s="4"/>
      <c r="U75" s="4"/>
    </row>
    <row r="76" spans="1:21" x14ac:dyDescent="0.25">
      <c r="A76" s="49">
        <v>44044</v>
      </c>
      <c r="B76" s="6">
        <f>'Demand Input'!F24</f>
        <v>160013.98512</v>
      </c>
      <c r="C76" s="6">
        <f>'Demand Input'!B24</f>
        <v>143816.33684</v>
      </c>
      <c r="D76" s="4">
        <f t="shared" si="8"/>
        <v>1.1126273178409514</v>
      </c>
      <c r="E76" s="4"/>
      <c r="F76" s="4"/>
      <c r="I76" s="4"/>
      <c r="L76" s="4"/>
      <c r="O76" s="4"/>
      <c r="R76" s="4"/>
      <c r="U76" s="4"/>
    </row>
    <row r="77" spans="1:21" x14ac:dyDescent="0.25">
      <c r="A77" s="49">
        <v>44075</v>
      </c>
      <c r="B77" s="6">
        <f>'Demand Input'!F25</f>
        <v>337995.64084000001</v>
      </c>
      <c r="C77" s="6">
        <f>'Demand Input'!B25</f>
        <v>260607.45612000002</v>
      </c>
      <c r="D77" s="4">
        <f t="shared" si="8"/>
        <v>1.2969530721498836</v>
      </c>
    </row>
    <row r="78" spans="1:21" s="9" customFormat="1" x14ac:dyDescent="0.25">
      <c r="A78" s="49">
        <v>44105</v>
      </c>
      <c r="B78" s="6">
        <f>'Demand Input'!F26</f>
        <v>243049.08364000003</v>
      </c>
      <c r="C78" s="6">
        <f>'Demand Input'!B26</f>
        <v>173601.36772000001</v>
      </c>
      <c r="D78" s="4">
        <f t="shared" ref="D78:D80" si="9">B78/C78</f>
        <v>1.4000412947898635</v>
      </c>
      <c r="E78" s="5"/>
      <c r="F78" s="5"/>
      <c r="I78" s="5"/>
      <c r="L78" s="5"/>
      <c r="O78" s="5"/>
      <c r="R78" s="5"/>
      <c r="U78" s="5"/>
    </row>
    <row r="79" spans="1:21" s="9" customFormat="1" x14ac:dyDescent="0.25">
      <c r="A79" s="49">
        <v>44136</v>
      </c>
      <c r="B79" s="6">
        <f>'Demand Input'!F27</f>
        <v>162175.56299999999</v>
      </c>
      <c r="C79" s="6">
        <f>'Demand Input'!B27</f>
        <v>131198.83348</v>
      </c>
      <c r="D79" s="4">
        <f t="shared" si="9"/>
        <v>1.2361052205904111</v>
      </c>
      <c r="E79" s="5"/>
      <c r="F79" s="5"/>
      <c r="I79" s="5"/>
      <c r="L79" s="5"/>
      <c r="O79" s="5"/>
      <c r="R79" s="5"/>
      <c r="U79" s="5"/>
    </row>
    <row r="80" spans="1:21" s="9" customFormat="1" x14ac:dyDescent="0.25">
      <c r="A80" s="49">
        <v>44166</v>
      </c>
      <c r="B80" s="6">
        <f>'Demand Input'!F28</f>
        <v>207737.90356000001</v>
      </c>
      <c r="C80" s="6">
        <f>'Demand Input'!B28</f>
        <v>170629.38420000003</v>
      </c>
      <c r="D80" s="4">
        <f t="shared" si="9"/>
        <v>1.2174802396081084</v>
      </c>
      <c r="E80" s="5"/>
      <c r="F80" s="5"/>
      <c r="I80" s="5"/>
      <c r="L80" s="5"/>
      <c r="O80" s="5"/>
      <c r="R80" s="5"/>
      <c r="U80" s="5"/>
    </row>
    <row r="81" spans="1:21" s="9" customFormat="1" x14ac:dyDescent="0.25">
      <c r="A81" s="49">
        <v>44197</v>
      </c>
      <c r="B81" s="6">
        <f>'Demand Input'!F29</f>
        <v>124779.79668000001</v>
      </c>
      <c r="C81" s="6">
        <f>'Demand Input'!B29</f>
        <v>117899.62536000001</v>
      </c>
      <c r="D81" s="4">
        <f t="shared" ref="D81" si="10">B81/C81</f>
        <v>1.0583561762727556</v>
      </c>
      <c r="E81" s="5"/>
      <c r="F81" s="5"/>
      <c r="I81" s="5"/>
      <c r="L81" s="5"/>
      <c r="O81" s="5"/>
      <c r="R81" s="5"/>
      <c r="U81" s="5"/>
    </row>
    <row r="82" spans="1:21" s="9" customFormat="1" x14ac:dyDescent="0.25">
      <c r="A82" s="49">
        <v>44228</v>
      </c>
      <c r="B82" s="6">
        <f>'Demand Input'!F30</f>
        <v>124538.23756000001</v>
      </c>
      <c r="C82" s="6">
        <f>'Demand Input'!B30</f>
        <v>104204.22408000001</v>
      </c>
      <c r="D82" s="4">
        <f t="shared" ref="D82" si="11">B82/C82</f>
        <v>1.1951361728329659</v>
      </c>
      <c r="E82" s="5"/>
      <c r="F82" s="5"/>
      <c r="I82" s="5"/>
      <c r="L82" s="5"/>
      <c r="O82" s="5"/>
      <c r="R82" s="5"/>
      <c r="U82" s="5"/>
    </row>
    <row r="83" spans="1:21" s="9" customFormat="1" x14ac:dyDescent="0.25">
      <c r="A83" s="49">
        <v>44256</v>
      </c>
      <c r="B83" s="6">
        <f>'Demand Input'!F31</f>
        <v>144510.13676000002</v>
      </c>
      <c r="C83" s="6">
        <f>'Demand Input'!B31</f>
        <v>116687.49136</v>
      </c>
      <c r="D83" s="4">
        <f t="shared" ref="D83" si="12">B83/C83</f>
        <v>1.2384372572906088</v>
      </c>
      <c r="E83" s="5"/>
      <c r="F83" s="5"/>
      <c r="I83" s="5"/>
      <c r="L83" s="5"/>
      <c r="O83" s="5"/>
      <c r="R83" s="5"/>
      <c r="U83" s="5"/>
    </row>
    <row r="84" spans="1:21" s="9" customFormat="1" x14ac:dyDescent="0.25">
      <c r="A84" s="49">
        <v>44287</v>
      </c>
      <c r="B84" s="6">
        <f>'Demand Input'!F32</f>
        <v>136465.79320000001</v>
      </c>
      <c r="C84" s="6">
        <f>'Demand Input'!B32</f>
        <v>109598.96464000001</v>
      </c>
      <c r="D84" s="4">
        <f t="shared" ref="D84" si="13">B84/C84</f>
        <v>1.2451376128255367</v>
      </c>
      <c r="E84" s="5"/>
      <c r="F84" s="5"/>
      <c r="I84" s="5"/>
      <c r="L84" s="5"/>
      <c r="O84" s="5"/>
      <c r="R84" s="5"/>
      <c r="U84" s="5"/>
    </row>
    <row r="85" spans="1:21" s="9" customFormat="1" x14ac:dyDescent="0.25">
      <c r="A85" s="49"/>
      <c r="B85" s="6"/>
      <c r="C85" s="6"/>
      <c r="D85" s="4"/>
      <c r="E85" s="5"/>
      <c r="F85" s="5"/>
      <c r="I85" s="5"/>
      <c r="L85" s="5"/>
      <c r="O85" s="5"/>
      <c r="R85" s="5"/>
      <c r="U85" s="5"/>
    </row>
    <row r="87" spans="1:21" x14ac:dyDescent="0.25">
      <c r="A87" s="7" t="str">
        <f>"Non-Residential Demand ("&amp;'Demand Input'!$C$9&amp;")"</f>
        <v>Non-Residential Demand (Kgal)</v>
      </c>
    </row>
    <row r="88" spans="1:21" x14ac:dyDescent="0.25">
      <c r="A88" s="2" t="s">
        <v>2</v>
      </c>
      <c r="B88" s="3" t="s">
        <v>0</v>
      </c>
      <c r="C88" s="3" t="s">
        <v>1</v>
      </c>
    </row>
    <row r="89" spans="1:21" x14ac:dyDescent="0.25">
      <c r="A89" s="49">
        <v>43862</v>
      </c>
      <c r="B89" s="6">
        <f>'Demand Input'!G18</f>
        <v>27184.287240000001</v>
      </c>
      <c r="C89" s="6">
        <f>'Demand Input'!C18</f>
        <v>24891.70464</v>
      </c>
      <c r="D89" s="4">
        <f>B89/C89</f>
        <v>1.092102273956598</v>
      </c>
      <c r="E89" s="4"/>
      <c r="F89" s="4"/>
      <c r="I89" s="4"/>
      <c r="L89" s="4"/>
      <c r="O89" s="4"/>
      <c r="R89" s="4"/>
      <c r="U89" s="4"/>
    </row>
    <row r="90" spans="1:21" x14ac:dyDescent="0.25">
      <c r="A90" s="49">
        <v>43891</v>
      </c>
      <c r="B90" s="6">
        <f>'Demand Input'!G19</f>
        <v>52556.783840000004</v>
      </c>
      <c r="C90" s="6">
        <f>'Demand Input'!C19</f>
        <v>42416.79552</v>
      </c>
      <c r="D90" s="4">
        <f t="shared" ref="D90:D96" si="14">B90/C90</f>
        <v>1.2390559728921269</v>
      </c>
      <c r="E90" s="4"/>
      <c r="F90" s="4"/>
      <c r="I90" s="4"/>
      <c r="L90" s="4"/>
      <c r="O90" s="4"/>
      <c r="R90" s="4"/>
      <c r="U90" s="4"/>
    </row>
    <row r="91" spans="1:21" x14ac:dyDescent="0.25">
      <c r="A91" s="49">
        <v>43922</v>
      </c>
      <c r="B91" s="6">
        <f>'Demand Input'!G20</f>
        <v>30008.585640000001</v>
      </c>
      <c r="C91" s="6">
        <f>'Demand Input'!C20</f>
        <v>33427.880640000003</v>
      </c>
      <c r="D91" s="4">
        <f t="shared" si="14"/>
        <v>0.89771128367891639</v>
      </c>
      <c r="E91" s="4"/>
      <c r="F91" s="4"/>
      <c r="I91" s="4"/>
      <c r="L91" s="4"/>
      <c r="O91" s="4"/>
      <c r="R91" s="4"/>
      <c r="U91" s="4"/>
    </row>
    <row r="92" spans="1:21" x14ac:dyDescent="0.25">
      <c r="A92" s="49">
        <v>43952</v>
      </c>
      <c r="B92" s="6">
        <f>'Demand Input'!G21</f>
        <v>21459.484200000003</v>
      </c>
      <c r="C92" s="6">
        <f>'Demand Input'!C21</f>
        <v>26254.44844</v>
      </c>
      <c r="D92" s="4">
        <f t="shared" si="14"/>
        <v>0.81736564563685055</v>
      </c>
      <c r="E92" s="4"/>
      <c r="F92" s="4"/>
      <c r="I92" s="4"/>
      <c r="L92" s="4"/>
      <c r="O92" s="4"/>
      <c r="R92" s="4"/>
      <c r="U92" s="4"/>
    </row>
    <row r="93" spans="1:21" x14ac:dyDescent="0.25">
      <c r="A93" s="49">
        <v>43983</v>
      </c>
      <c r="B93" s="6">
        <f>'Demand Input'!G22</f>
        <v>47687.401080000003</v>
      </c>
      <c r="C93" s="6">
        <f>'Demand Input'!C22</f>
        <v>33248.873200000002</v>
      </c>
      <c r="D93" s="4">
        <f t="shared" si="14"/>
        <v>1.4342561563860756</v>
      </c>
      <c r="E93" s="4"/>
      <c r="F93" s="4"/>
      <c r="I93" s="4"/>
      <c r="L93" s="4"/>
      <c r="O93" s="4"/>
      <c r="R93" s="4"/>
      <c r="U93" s="4"/>
    </row>
    <row r="94" spans="1:21" x14ac:dyDescent="0.25">
      <c r="A94" s="49">
        <v>44013</v>
      </c>
      <c r="B94" s="6">
        <f>'Demand Input'!G23</f>
        <v>33702.69584</v>
      </c>
      <c r="C94" s="6">
        <f>'Demand Input'!C23</f>
        <v>42679.937520000007</v>
      </c>
      <c r="D94" s="4">
        <f t="shared" si="14"/>
        <v>0.78966132094750063</v>
      </c>
      <c r="E94" s="4"/>
      <c r="F94" s="4"/>
      <c r="I94" s="4"/>
      <c r="L94" s="4"/>
      <c r="O94" s="4"/>
      <c r="R94" s="4"/>
      <c r="U94" s="4"/>
    </row>
    <row r="95" spans="1:21" x14ac:dyDescent="0.25">
      <c r="A95" s="49">
        <v>44044</v>
      </c>
      <c r="B95" s="6">
        <f>'Demand Input'!G24</f>
        <v>30630.764560000003</v>
      </c>
      <c r="C95" s="6">
        <f>'Demand Input'!C24</f>
        <v>34036.498319999999</v>
      </c>
      <c r="D95" s="4">
        <f t="shared" si="14"/>
        <v>0.89993877372518161</v>
      </c>
      <c r="E95" s="4"/>
      <c r="F95" s="4"/>
      <c r="I95" s="4"/>
      <c r="L95" s="4"/>
      <c r="O95" s="4"/>
      <c r="R95" s="4"/>
      <c r="U95" s="4"/>
    </row>
    <row r="96" spans="1:21" x14ac:dyDescent="0.25">
      <c r="A96" s="49">
        <v>44075</v>
      </c>
      <c r="B96" s="6">
        <f>'Demand Input'!G25</f>
        <v>87939.966400000005</v>
      </c>
      <c r="C96" s="6">
        <f>'Demand Input'!C25</f>
        <v>86367.775120000006</v>
      </c>
      <c r="D96" s="4">
        <f t="shared" si="14"/>
        <v>1.0182034477305406</v>
      </c>
    </row>
    <row r="97" spans="1:21" s="9" customFormat="1" x14ac:dyDescent="0.25">
      <c r="A97" s="49">
        <v>44105</v>
      </c>
      <c r="B97" s="6">
        <f>'Demand Input'!G26</f>
        <v>51017.646679999998</v>
      </c>
      <c r="C97" s="6">
        <f>'Demand Input'!C26</f>
        <v>49561.754440000004</v>
      </c>
      <c r="D97" s="4">
        <f t="shared" ref="D97:D99" si="15">B97/C97</f>
        <v>1.0293753168436059</v>
      </c>
      <c r="E97" s="5"/>
      <c r="F97" s="5"/>
      <c r="I97" s="5"/>
      <c r="L97" s="5"/>
      <c r="O97" s="5"/>
      <c r="R97" s="5"/>
      <c r="U97" s="5"/>
    </row>
    <row r="98" spans="1:21" s="9" customFormat="1" x14ac:dyDescent="0.25">
      <c r="A98" s="49">
        <v>44136</v>
      </c>
      <c r="B98" s="6">
        <f>'Demand Input'!G27</f>
        <v>38090.246920000005</v>
      </c>
      <c r="C98" s="6">
        <f>'Demand Input'!C27</f>
        <v>32261.419520000003</v>
      </c>
      <c r="D98" s="4">
        <f t="shared" si="15"/>
        <v>1.1806748582896827</v>
      </c>
      <c r="E98" s="5"/>
      <c r="F98" s="5"/>
      <c r="I98" s="5"/>
      <c r="L98" s="5"/>
      <c r="O98" s="5"/>
      <c r="R98" s="5"/>
      <c r="U98" s="5"/>
    </row>
    <row r="99" spans="1:21" s="9" customFormat="1" x14ac:dyDescent="0.25">
      <c r="A99" s="49">
        <v>44166</v>
      </c>
      <c r="B99" s="6">
        <f>'Demand Input'!G28</f>
        <v>72201.814520000014</v>
      </c>
      <c r="C99" s="6">
        <f>'Demand Input'!C28</f>
        <v>66164.871080000012</v>
      </c>
      <c r="D99" s="4">
        <f t="shared" si="15"/>
        <v>1.0912409159340872</v>
      </c>
      <c r="E99" s="5"/>
      <c r="F99" s="5"/>
      <c r="I99" s="5"/>
      <c r="L99" s="5"/>
      <c r="O99" s="5"/>
      <c r="R99" s="5"/>
      <c r="U99" s="5"/>
    </row>
    <row r="100" spans="1:21" s="9" customFormat="1" x14ac:dyDescent="0.25">
      <c r="A100" s="49">
        <v>44197</v>
      </c>
      <c r="B100" s="6">
        <f>'Demand Input'!G29</f>
        <v>32645.300600000002</v>
      </c>
      <c r="C100" s="6">
        <f>'Demand Input'!C29</f>
        <v>38851.995160000006</v>
      </c>
      <c r="D100" s="4">
        <f t="shared" ref="D100" si="16">B100/C100</f>
        <v>0.84024772641817647</v>
      </c>
      <c r="E100" s="5"/>
      <c r="F100" s="5"/>
      <c r="I100" s="5"/>
      <c r="L100" s="5"/>
      <c r="O100" s="5"/>
      <c r="R100" s="5"/>
      <c r="U100" s="5"/>
    </row>
    <row r="101" spans="1:21" x14ac:dyDescent="0.25">
      <c r="A101" s="49">
        <v>44228</v>
      </c>
      <c r="B101" s="6">
        <f>'Demand Input'!G30</f>
        <v>32987.652720000006</v>
      </c>
      <c r="C101" s="6">
        <f>'Demand Input'!C30</f>
        <v>27184.287240000001</v>
      </c>
      <c r="D101" s="4">
        <f t="shared" ref="D101" si="17">B101/C101</f>
        <v>1.2134823484156212</v>
      </c>
    </row>
    <row r="102" spans="1:21" s="9" customFormat="1" x14ac:dyDescent="0.25">
      <c r="A102" s="49">
        <v>44256</v>
      </c>
      <c r="B102" s="6">
        <f>'Demand Input'!G31</f>
        <v>37296.185080000003</v>
      </c>
      <c r="C102" s="6">
        <f>'Demand Input'!C31</f>
        <v>52556.783840000004</v>
      </c>
      <c r="D102" s="4">
        <f t="shared" ref="D102" si="18">B102/C102</f>
        <v>0.70963598521442561</v>
      </c>
    </row>
    <row r="103" spans="1:21" s="9" customFormat="1" x14ac:dyDescent="0.25">
      <c r="A103" s="49">
        <v>44287</v>
      </c>
      <c r="B103" s="6">
        <f>'Demand Input'!G32</f>
        <v>52983.592640000003</v>
      </c>
      <c r="C103" s="6">
        <f>'Demand Input'!C32</f>
        <v>30008.585640000001</v>
      </c>
      <c r="D103" s="4">
        <f t="shared" ref="D103" si="19">B103/C103</f>
        <v>1.7656144569964478</v>
      </c>
    </row>
    <row r="104" spans="1:21" s="9" customFormat="1" x14ac:dyDescent="0.25">
      <c r="A104" s="49"/>
      <c r="B104" s="6"/>
      <c r="C104" s="6"/>
      <c r="D104" s="4"/>
    </row>
    <row r="105" spans="1:21" s="9" customFormat="1" x14ac:dyDescent="0.25">
      <c r="A105" s="1"/>
      <c r="B105" s="6"/>
      <c r="C105" s="6"/>
      <c r="D105" s="4"/>
    </row>
    <row r="106" spans="1:21" x14ac:dyDescent="0.25">
      <c r="A106" s="7" t="str">
        <f>"Wholesale Demand ("&amp;'Demand Input'!$C$9&amp;")"</f>
        <v>Wholesale Demand (Kgal)</v>
      </c>
    </row>
    <row r="107" spans="1:21" x14ac:dyDescent="0.25">
      <c r="A107" s="2" t="s">
        <v>2</v>
      </c>
      <c r="B107" s="3" t="s">
        <v>0</v>
      </c>
      <c r="C107" s="3" t="s">
        <v>1</v>
      </c>
    </row>
    <row r="108" spans="1:21" x14ac:dyDescent="0.25">
      <c r="A108" s="49">
        <v>43862</v>
      </c>
      <c r="B108" s="6">
        <f>'Demand Input'!H18</f>
        <v>0</v>
      </c>
      <c r="C108" s="6">
        <f>'Demand Input'!D18</f>
        <v>0</v>
      </c>
      <c r="D108" s="4" t="e">
        <f>B108/C108</f>
        <v>#DIV/0!</v>
      </c>
      <c r="E108" s="4"/>
      <c r="F108" s="4"/>
      <c r="I108" s="4"/>
      <c r="L108" s="4"/>
      <c r="O108" s="4"/>
      <c r="R108" s="4"/>
      <c r="U108" s="4"/>
    </row>
    <row r="109" spans="1:21" x14ac:dyDescent="0.25">
      <c r="A109" s="49">
        <v>43891</v>
      </c>
      <c r="B109" s="6">
        <f>'Demand Input'!H19</f>
        <v>21965.02</v>
      </c>
      <c r="C109" s="6">
        <f>'Demand Input'!D19</f>
        <v>14013.78</v>
      </c>
      <c r="D109" s="4">
        <f t="shared" ref="D109:D115" si="20">B109/C109</f>
        <v>1.5673872431278355</v>
      </c>
      <c r="E109" s="4"/>
      <c r="F109" s="4"/>
      <c r="I109" s="4"/>
      <c r="L109" s="4"/>
      <c r="O109" s="4"/>
      <c r="R109" s="4"/>
      <c r="U109" s="4"/>
    </row>
    <row r="110" spans="1:21" x14ac:dyDescent="0.25">
      <c r="A110" s="49">
        <v>43922</v>
      </c>
      <c r="B110" s="6">
        <f>'Demand Input'!H20</f>
        <v>0</v>
      </c>
      <c r="C110" s="6">
        <f>'Demand Input'!D20</f>
        <v>0</v>
      </c>
      <c r="D110" s="4" t="e">
        <f t="shared" si="20"/>
        <v>#DIV/0!</v>
      </c>
      <c r="E110" s="4"/>
      <c r="F110" s="4"/>
      <c r="I110" s="4"/>
      <c r="L110" s="4"/>
      <c r="O110" s="4"/>
      <c r="R110" s="4"/>
      <c r="U110" s="4"/>
    </row>
    <row r="111" spans="1:21" x14ac:dyDescent="0.25">
      <c r="A111" s="49">
        <v>43952</v>
      </c>
      <c r="B111" s="6">
        <f>'Demand Input'!H21</f>
        <v>0</v>
      </c>
      <c r="C111" s="6">
        <f>'Demand Input'!D21</f>
        <v>0</v>
      </c>
      <c r="D111" s="4" t="e">
        <f t="shared" si="20"/>
        <v>#DIV/0!</v>
      </c>
      <c r="E111" s="4"/>
      <c r="F111" s="4"/>
      <c r="I111" s="4"/>
      <c r="L111" s="4"/>
      <c r="O111" s="4"/>
      <c r="R111" s="4"/>
      <c r="U111" s="4"/>
    </row>
    <row r="112" spans="1:21" x14ac:dyDescent="0.25">
      <c r="A112" s="49">
        <v>43983</v>
      </c>
      <c r="B112" s="6">
        <f>'Demand Input'!H22</f>
        <v>27331</v>
      </c>
      <c r="C112" s="6">
        <f>'Demand Input'!D22</f>
        <v>30443.599999999999</v>
      </c>
      <c r="D112" s="4">
        <f t="shared" si="20"/>
        <v>0.89775847797238173</v>
      </c>
      <c r="E112" s="4"/>
      <c r="F112" s="4"/>
      <c r="I112" s="4"/>
      <c r="L112" s="4"/>
      <c r="O112" s="4"/>
      <c r="R112" s="4"/>
      <c r="U112" s="4"/>
    </row>
    <row r="113" spans="1:21" x14ac:dyDescent="0.25">
      <c r="A113" s="49">
        <v>44013</v>
      </c>
      <c r="B113" s="6">
        <f>'Demand Input'!H23</f>
        <v>0</v>
      </c>
      <c r="C113" s="6">
        <f>'Demand Input'!D23</f>
        <v>0</v>
      </c>
      <c r="D113" s="4" t="e">
        <f t="shared" si="20"/>
        <v>#DIV/0!</v>
      </c>
      <c r="E113" s="4"/>
      <c r="F113" s="4"/>
      <c r="I113" s="4"/>
      <c r="L113" s="4"/>
      <c r="O113" s="4"/>
      <c r="R113" s="4"/>
      <c r="U113" s="4"/>
    </row>
    <row r="114" spans="1:21" x14ac:dyDescent="0.25">
      <c r="A114" s="49">
        <v>44044</v>
      </c>
      <c r="B114" s="6">
        <f>'Demand Input'!H24</f>
        <v>0</v>
      </c>
      <c r="C114" s="6">
        <f>'Demand Input'!D24</f>
        <v>0</v>
      </c>
      <c r="D114" s="4" t="e">
        <f t="shared" si="20"/>
        <v>#DIV/0!</v>
      </c>
      <c r="E114" s="4"/>
      <c r="F114" s="4"/>
      <c r="I114" s="4"/>
      <c r="L114" s="4"/>
      <c r="O114" s="4"/>
      <c r="R114" s="4"/>
      <c r="U114" s="4"/>
    </row>
    <row r="115" spans="1:21" x14ac:dyDescent="0.25">
      <c r="A115" s="49">
        <v>44075</v>
      </c>
      <c r="B115" s="6">
        <f>'Demand Input'!H25</f>
        <v>50400.24</v>
      </c>
      <c r="C115" s="6">
        <f>'Demand Input'!D25</f>
        <v>38376.14</v>
      </c>
      <c r="D115" s="4">
        <f t="shared" si="20"/>
        <v>1.3133222882759965</v>
      </c>
    </row>
    <row r="116" spans="1:21" s="9" customFormat="1" x14ac:dyDescent="0.25">
      <c r="A116" s="49">
        <v>44105</v>
      </c>
      <c r="B116" s="6">
        <f>'Demand Input'!H26</f>
        <v>0</v>
      </c>
      <c r="C116" s="6">
        <f>'Demand Input'!D26</f>
        <v>0</v>
      </c>
      <c r="D116" s="4" t="e">
        <f t="shared" ref="D116:D118" si="21">B116/C116</f>
        <v>#DIV/0!</v>
      </c>
      <c r="E116" s="5"/>
      <c r="F116" s="5"/>
      <c r="I116" s="5"/>
      <c r="L116" s="5"/>
      <c r="O116" s="5"/>
      <c r="R116" s="5"/>
      <c r="U116" s="5"/>
    </row>
    <row r="117" spans="1:21" s="9" customFormat="1" x14ac:dyDescent="0.25">
      <c r="A117" s="49">
        <v>44136</v>
      </c>
      <c r="B117" s="6">
        <f>'Demand Input'!H27</f>
        <v>0</v>
      </c>
      <c r="C117" s="6">
        <f>'Demand Input'!D27</f>
        <v>0</v>
      </c>
      <c r="D117" s="4" t="e">
        <f t="shared" si="21"/>
        <v>#DIV/0!</v>
      </c>
      <c r="E117" s="5"/>
      <c r="F117" s="5"/>
      <c r="I117" s="5"/>
      <c r="L117" s="5"/>
      <c r="O117" s="5"/>
      <c r="R117" s="5"/>
      <c r="U117" s="5"/>
    </row>
    <row r="118" spans="1:21" s="9" customFormat="1" x14ac:dyDescent="0.25">
      <c r="A118" s="49">
        <v>44166</v>
      </c>
      <c r="B118" s="6">
        <f>'Demand Input'!H28</f>
        <v>30611.9</v>
      </c>
      <c r="C118" s="6">
        <f>'Demand Input'!D28</f>
        <v>24784.98</v>
      </c>
      <c r="D118" s="4">
        <f t="shared" si="21"/>
        <v>1.2350988380866155</v>
      </c>
      <c r="E118" s="5"/>
      <c r="F118" s="5"/>
      <c r="I118" s="5"/>
      <c r="L118" s="5"/>
      <c r="O118" s="5"/>
      <c r="R118" s="5"/>
      <c r="U118" s="5"/>
    </row>
    <row r="119" spans="1:21" x14ac:dyDescent="0.25">
      <c r="A119" s="49">
        <v>44197</v>
      </c>
      <c r="B119" s="6">
        <f>'Demand Input'!H29</f>
        <v>0</v>
      </c>
      <c r="C119" s="6">
        <f>'Demand Input'!D29</f>
        <v>0</v>
      </c>
      <c r="D119" s="4" t="e">
        <f t="shared" ref="D119" si="22">B119/C119</f>
        <v>#DIV/0!</v>
      </c>
    </row>
    <row r="120" spans="1:21" x14ac:dyDescent="0.25">
      <c r="A120" s="49">
        <v>44228</v>
      </c>
      <c r="B120" s="6">
        <f>'Demand Input'!H30</f>
        <v>0</v>
      </c>
      <c r="C120" s="6">
        <f>'Demand Input'!D30</f>
        <v>0</v>
      </c>
      <c r="D120" s="4" t="e">
        <f t="shared" ref="D120:D121" si="23">B120/C120</f>
        <v>#DIV/0!</v>
      </c>
    </row>
    <row r="121" spans="1:21" x14ac:dyDescent="0.25">
      <c r="A121" s="49">
        <v>44256</v>
      </c>
      <c r="B121" s="6">
        <f>'Demand Input'!H31</f>
        <v>30196.76</v>
      </c>
      <c r="C121" s="6">
        <f>'Demand Input'!D31</f>
        <v>21965.02</v>
      </c>
      <c r="D121" s="4">
        <f t="shared" si="23"/>
        <v>1.3747658777456155</v>
      </c>
    </row>
    <row r="122" spans="1:21" x14ac:dyDescent="0.25">
      <c r="A122" s="49">
        <v>44287</v>
      </c>
      <c r="B122" s="6">
        <f>'Demand Input'!H32</f>
        <v>0</v>
      </c>
      <c r="C122" s="6">
        <f>'Demand Input'!D32</f>
        <v>0</v>
      </c>
      <c r="D122" s="4" t="e">
        <f t="shared" ref="D122" si="24">B122/C122</f>
        <v>#DIV/0!</v>
      </c>
    </row>
  </sheetData>
  <mergeCells count="34">
    <mergeCell ref="AP28:AQ28"/>
    <mergeCell ref="AP33:AQ33"/>
    <mergeCell ref="B1:AQ1"/>
    <mergeCell ref="B35:AQ35"/>
    <mergeCell ref="B2:AI2"/>
    <mergeCell ref="Y28:Z28"/>
    <mergeCell ref="Y33:Z33"/>
    <mergeCell ref="AB28:AC28"/>
    <mergeCell ref="AB33:AC33"/>
    <mergeCell ref="P33:Q33"/>
    <mergeCell ref="S33:T33"/>
    <mergeCell ref="D28:E28"/>
    <mergeCell ref="G28:H28"/>
    <mergeCell ref="J28:K28"/>
    <mergeCell ref="M28:N28"/>
    <mergeCell ref="P28:Q28"/>
    <mergeCell ref="AE28:AF28"/>
    <mergeCell ref="AE33:AF33"/>
    <mergeCell ref="S28:T28"/>
    <mergeCell ref="V28:W28"/>
    <mergeCell ref="AH28:AI28"/>
    <mergeCell ref="AH33:AI33"/>
    <mergeCell ref="AN28:AO28"/>
    <mergeCell ref="AN33:AO33"/>
    <mergeCell ref="AL28:AM28"/>
    <mergeCell ref="AL33:AM33"/>
    <mergeCell ref="AJ28:AK28"/>
    <mergeCell ref="AJ33:AK33"/>
    <mergeCell ref="A47:E47"/>
    <mergeCell ref="V33:W33"/>
    <mergeCell ref="D33:E33"/>
    <mergeCell ref="G33:H33"/>
    <mergeCell ref="J33:K33"/>
    <mergeCell ref="M33:N33"/>
  </mergeCells>
  <phoneticPr fontId="19" type="noConversion"/>
  <pageMargins left="0.25" right="0.25" top="0.75" bottom="0.75" header="0.3" footer="0.3"/>
  <pageSetup scale="41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sheetPr>
    <pageSetUpPr fitToPage="1"/>
  </sheetPr>
  <dimension ref="A1:BS60"/>
  <sheetViews>
    <sheetView showGridLines="0" topLeftCell="A22" zoomScaleNormal="100" workbookViewId="0">
      <selection activeCell="C39" sqref="C39:C53"/>
    </sheetView>
  </sheetViews>
  <sheetFormatPr defaultColWidth="9.140625" defaultRowHeight="15" x14ac:dyDescent="0.25"/>
  <cols>
    <col min="1" max="1" width="11.85546875" style="8" customWidth="1"/>
    <col min="2" max="2" width="26.85546875" style="8" customWidth="1"/>
    <col min="3" max="4" width="18.28515625" style="8" customWidth="1"/>
    <col min="5" max="5" width="1.85546875" style="8" customWidth="1"/>
    <col min="6" max="8" width="18.28515625" style="8" customWidth="1"/>
    <col min="9" max="9" width="9.140625" style="8"/>
    <col min="10" max="10" width="10" style="8" bestFit="1" customWidth="1"/>
    <col min="11" max="11" width="12" style="8" bestFit="1" customWidth="1"/>
    <col min="12" max="16" width="9.140625" style="8"/>
    <col min="17" max="17" width="11.85546875" style="8" bestFit="1" customWidth="1"/>
    <col min="18" max="18" width="14.28515625" style="8" bestFit="1" customWidth="1"/>
    <col min="19" max="16384" width="9.140625" style="8"/>
  </cols>
  <sheetData>
    <row r="1" spans="1:71" ht="15" customHeight="1" x14ac:dyDescent="0.25">
      <c r="A1" s="61" t="s">
        <v>12</v>
      </c>
      <c r="B1" s="62"/>
      <c r="C1" s="62"/>
      <c r="D1" s="62"/>
      <c r="E1" s="62"/>
      <c r="F1" s="62"/>
      <c r="G1" s="62"/>
      <c r="H1" s="62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</row>
    <row r="2" spans="1:71" ht="15" customHeight="1" x14ac:dyDescent="0.25">
      <c r="A2" s="62"/>
      <c r="B2" s="62"/>
      <c r="C2" s="62"/>
      <c r="D2" s="62"/>
      <c r="E2" s="62"/>
      <c r="F2" s="62"/>
      <c r="G2" s="62"/>
      <c r="H2" s="62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1:71" ht="15" customHeight="1" x14ac:dyDescent="0.25">
      <c r="A3" s="62"/>
      <c r="B3" s="62"/>
      <c r="C3" s="62"/>
      <c r="D3" s="62"/>
      <c r="E3" s="62"/>
      <c r="F3" s="62"/>
      <c r="G3" s="62"/>
      <c r="H3" s="62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</row>
    <row r="4" spans="1:71" ht="15" customHeight="1" x14ac:dyDescent="0.25">
      <c r="A4" s="62"/>
      <c r="B4" s="62"/>
      <c r="C4" s="62"/>
      <c r="D4" s="62"/>
      <c r="E4" s="62"/>
      <c r="F4" s="62"/>
      <c r="G4" s="62"/>
      <c r="H4" s="62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</row>
    <row r="5" spans="1:71" ht="15" customHeight="1" x14ac:dyDescent="0.25">
      <c r="A5" s="66" t="str">
        <f>C8</f>
        <v>Kent County Water Authority</v>
      </c>
      <c r="B5" s="66"/>
      <c r="C5" s="66"/>
      <c r="D5" s="66"/>
      <c r="E5" s="66"/>
      <c r="F5" s="66"/>
      <c r="G5" s="66"/>
      <c r="H5" s="66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</row>
    <row r="6" spans="1:71" ht="15" customHeight="1" x14ac:dyDescent="0.25">
      <c r="A6" s="66"/>
      <c r="B6" s="66"/>
      <c r="C6" s="66"/>
      <c r="D6" s="66"/>
      <c r="E6" s="66"/>
      <c r="F6" s="66"/>
      <c r="G6" s="66"/>
      <c r="H6" s="66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ht="26.25" x14ac:dyDescent="0.4">
      <c r="A7" s="67" t="s">
        <v>41</v>
      </c>
      <c r="B7" s="67"/>
      <c r="C7" s="67"/>
      <c r="D7" s="67"/>
      <c r="E7" s="67"/>
      <c r="F7" s="67"/>
      <c r="G7" s="67"/>
      <c r="H7" s="67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71" x14ac:dyDescent="0.25">
      <c r="A8" s="32"/>
      <c r="B8" s="33" t="s">
        <v>10</v>
      </c>
      <c r="C8" s="64" t="s">
        <v>38</v>
      </c>
      <c r="D8" s="64"/>
      <c r="E8" s="32"/>
      <c r="F8" s="32"/>
      <c r="G8" s="32"/>
      <c r="H8" s="32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</row>
    <row r="9" spans="1:71" x14ac:dyDescent="0.25">
      <c r="A9" s="32"/>
      <c r="B9" s="33" t="s">
        <v>8</v>
      </c>
      <c r="C9" s="64" t="s">
        <v>35</v>
      </c>
      <c r="D9" s="64"/>
      <c r="E9" s="32"/>
      <c r="F9" s="32"/>
      <c r="G9" s="32"/>
      <c r="H9" s="32"/>
      <c r="I9" s="30"/>
      <c r="J9" s="30"/>
      <c r="K9" s="30"/>
      <c r="L9" s="30"/>
      <c r="M9" s="31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</row>
    <row r="10" spans="1:71" x14ac:dyDescent="0.25">
      <c r="A10" s="32"/>
      <c r="B10" s="33" t="s">
        <v>39</v>
      </c>
      <c r="C10" s="64" t="s">
        <v>34</v>
      </c>
      <c r="D10" s="64"/>
      <c r="E10" s="32"/>
      <c r="F10" s="32"/>
      <c r="G10" s="32"/>
      <c r="H10" s="32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</row>
    <row r="11" spans="1:71" ht="6.75" customHeight="1" x14ac:dyDescent="0.25">
      <c r="A11" s="32"/>
      <c r="B11" s="32"/>
      <c r="C11" s="32"/>
      <c r="D11" s="32"/>
      <c r="E11" s="32"/>
      <c r="F11" s="32"/>
      <c r="G11" s="32"/>
      <c r="H11" s="32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</row>
    <row r="12" spans="1:71" ht="2.25" customHeight="1" x14ac:dyDescent="0.25">
      <c r="A12" s="34"/>
      <c r="B12" s="60"/>
      <c r="C12" s="60"/>
      <c r="D12" s="60"/>
      <c r="E12" s="60"/>
      <c r="F12" s="60"/>
      <c r="G12" s="60"/>
      <c r="H12" s="60"/>
      <c r="I12" s="28"/>
      <c r="J12" s="28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</row>
    <row r="13" spans="1:71" ht="6.75" customHeight="1" x14ac:dyDescent="0.25">
      <c r="A13" s="32"/>
      <c r="B13" s="32"/>
      <c r="C13" s="32"/>
      <c r="D13" s="32"/>
      <c r="E13" s="32"/>
      <c r="F13" s="32"/>
      <c r="G13" s="32"/>
      <c r="H13" s="32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</row>
    <row r="14" spans="1:71" ht="23.25" x14ac:dyDescent="0.35">
      <c r="A14" s="35"/>
      <c r="B14" s="63" t="str">
        <f>"Input Customer Demand ("&amp;C9&amp;")"</f>
        <v>Input Customer Demand (Kgal)</v>
      </c>
      <c r="C14" s="63"/>
      <c r="D14" s="63"/>
      <c r="E14" s="63"/>
      <c r="F14" s="63"/>
      <c r="G14" s="63"/>
      <c r="H14" s="63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</row>
    <row r="15" spans="1:71" x14ac:dyDescent="0.25">
      <c r="A15" s="35"/>
      <c r="B15" s="58" t="s">
        <v>9</v>
      </c>
      <c r="C15" s="58"/>
      <c r="D15" s="58"/>
      <c r="E15" s="58"/>
      <c r="F15" s="58"/>
      <c r="G15" s="58"/>
      <c r="H15" s="5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</row>
    <row r="16" spans="1:71" x14ac:dyDescent="0.25">
      <c r="A16" s="34"/>
      <c r="B16" s="65" t="s">
        <v>47</v>
      </c>
      <c r="C16" s="65"/>
      <c r="D16" s="65"/>
      <c r="E16" s="34"/>
      <c r="F16" s="65" t="s">
        <v>48</v>
      </c>
      <c r="G16" s="65"/>
      <c r="H16" s="65"/>
      <c r="I16" s="28"/>
      <c r="J16" s="28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</row>
    <row r="17" spans="1:71" x14ac:dyDescent="0.25">
      <c r="A17" s="36" t="s">
        <v>2</v>
      </c>
      <c r="B17" s="18" t="s">
        <v>3</v>
      </c>
      <c r="C17" s="18" t="s">
        <v>4</v>
      </c>
      <c r="D17" s="18" t="s">
        <v>5</v>
      </c>
      <c r="E17" s="17"/>
      <c r="F17" s="18" t="s">
        <v>3</v>
      </c>
      <c r="G17" s="18" t="s">
        <v>4</v>
      </c>
      <c r="H17" s="18" t="s">
        <v>5</v>
      </c>
      <c r="I17" s="28"/>
      <c r="J17" s="28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</row>
    <row r="18" spans="1:71" x14ac:dyDescent="0.25">
      <c r="A18" s="71">
        <v>43862</v>
      </c>
      <c r="B18" s="21">
        <f>(14840904*7.48)/1000</f>
        <v>111009.96192</v>
      </c>
      <c r="C18" s="21">
        <f>(3327768*7.48)/1000</f>
        <v>24891.70464</v>
      </c>
      <c r="D18" s="21"/>
      <c r="E18" s="22"/>
      <c r="F18" s="21">
        <f>(13931046*7.48)/1000</f>
        <v>104204.22408000001</v>
      </c>
      <c r="G18" s="21">
        <f>(3634263*7.48)/1000</f>
        <v>27184.287240000001</v>
      </c>
      <c r="H18" s="21"/>
      <c r="I18" s="28"/>
      <c r="J18" s="28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</row>
    <row r="19" spans="1:71" x14ac:dyDescent="0.25">
      <c r="A19" s="71">
        <v>43891</v>
      </c>
      <c r="B19" s="21">
        <f>(16514055*7.48)/1000</f>
        <v>123525.13140000001</v>
      </c>
      <c r="C19" s="21">
        <f>(7544224*7.48)/1000-14014</f>
        <v>42416.79552</v>
      </c>
      <c r="D19" s="21">
        <f>14013780/1000</f>
        <v>14013.78</v>
      </c>
      <c r="E19" s="22"/>
      <c r="F19" s="21">
        <f>(15599932*7.48)/1000</f>
        <v>116687.49136</v>
      </c>
      <c r="G19" s="21">
        <f>(7026308*7.48)/1000</f>
        <v>52556.783840000004</v>
      </c>
      <c r="H19" s="21">
        <f>21965020/1000</f>
        <v>21965.02</v>
      </c>
      <c r="I19" s="28"/>
      <c r="J19" s="28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</row>
    <row r="20" spans="1:71" x14ac:dyDescent="0.25">
      <c r="A20" s="71">
        <v>43922</v>
      </c>
      <c r="B20" s="21">
        <f>(15141549*7.48)/1000</f>
        <v>113258.78652000001</v>
      </c>
      <c r="C20" s="21">
        <f>(4468968*7.48)/1000</f>
        <v>33427.880640000003</v>
      </c>
      <c r="D20" s="21"/>
      <c r="E20" s="22"/>
      <c r="F20" s="21">
        <f>(14652268*7.48)/1000</f>
        <v>109598.96464000001</v>
      </c>
      <c r="G20" s="21">
        <f>(4011843*7.48)/1000</f>
        <v>30008.585640000001</v>
      </c>
      <c r="H20" s="21"/>
      <c r="I20" s="28"/>
      <c r="J20" s="28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</row>
    <row r="21" spans="1:71" x14ac:dyDescent="0.25">
      <c r="A21" s="71">
        <v>43952</v>
      </c>
      <c r="B21" s="21">
        <f>(14321932*7.48)/1000</f>
        <v>107128.05136</v>
      </c>
      <c r="C21" s="21">
        <f>(3509953*7.48)/1000</f>
        <v>26254.44844</v>
      </c>
      <c r="D21" s="21"/>
      <c r="E21" s="22"/>
      <c r="F21" s="21">
        <f>(14659895*7.48)/1000</f>
        <v>109656.01460000001</v>
      </c>
      <c r="G21" s="21">
        <f>(2868915*7.48)/1000</f>
        <v>21459.484200000003</v>
      </c>
      <c r="H21" s="21"/>
      <c r="I21" s="28"/>
      <c r="J21" s="28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</row>
    <row r="22" spans="1:71" x14ac:dyDescent="0.25">
      <c r="A22" s="71">
        <v>43983</v>
      </c>
      <c r="B22" s="21">
        <f>(19375729*7.48)/1000</f>
        <v>144930.45292000001</v>
      </c>
      <c r="C22" s="21">
        <f>(8515090*7.48)/1000-30444</f>
        <v>33248.873200000002</v>
      </c>
      <c r="D22" s="21">
        <f>30443600/1000</f>
        <v>30443.599999999999</v>
      </c>
      <c r="E22" s="22"/>
      <c r="F22" s="21">
        <f>(20681315*7.48)/1000</f>
        <v>154696.23620000001</v>
      </c>
      <c r="G22" s="21">
        <f>(6375321*7.48)/1000</f>
        <v>47687.401080000003</v>
      </c>
      <c r="H22" s="21">
        <f>27331000/1000</f>
        <v>27331</v>
      </c>
      <c r="I22" s="28"/>
      <c r="J22" s="28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</row>
    <row r="23" spans="1:71" x14ac:dyDescent="0.25">
      <c r="A23" s="71">
        <v>44013</v>
      </c>
      <c r="B23" s="21">
        <f>(20190911*7.48)/1000</f>
        <v>151028.01428</v>
      </c>
      <c r="C23" s="21">
        <f>(5705874*7.48)/1000</f>
        <v>42679.937520000007</v>
      </c>
      <c r="D23" s="21"/>
      <c r="E23" s="22"/>
      <c r="F23" s="21">
        <f>(21375582*7.48)/1000</f>
        <v>159889.35336000001</v>
      </c>
      <c r="G23" s="21">
        <f>(4505708*7.48)/1000</f>
        <v>33702.69584</v>
      </c>
      <c r="H23" s="21"/>
      <c r="I23" s="28"/>
      <c r="J23" s="28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</row>
    <row r="24" spans="1:71" x14ac:dyDescent="0.25">
      <c r="A24" s="71">
        <v>44044</v>
      </c>
      <c r="B24" s="21">
        <f>(19226783*7.48)/1000</f>
        <v>143816.33684</v>
      </c>
      <c r="C24" s="21">
        <f>(4550334*7.48)/1000</f>
        <v>34036.498319999999</v>
      </c>
      <c r="D24" s="21"/>
      <c r="E24" s="22"/>
      <c r="F24" s="21">
        <f>(21392244*7.48)/1000</f>
        <v>160013.98512</v>
      </c>
      <c r="G24" s="21">
        <f>(4095022*7.48)/1000</f>
        <v>30630.764560000003</v>
      </c>
      <c r="H24" s="21"/>
      <c r="I24" s="28"/>
      <c r="J24" s="28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</row>
    <row r="25" spans="1:71" x14ac:dyDescent="0.25">
      <c r="A25" s="71">
        <v>44075</v>
      </c>
      <c r="B25" s="21">
        <f>(34840569*7.48)/1000</f>
        <v>260607.45612000002</v>
      </c>
      <c r="C25" s="21">
        <f>(11546494*7.48)/1000</f>
        <v>86367.775120000006</v>
      </c>
      <c r="D25" s="21">
        <f>38376140/1000</f>
        <v>38376.14</v>
      </c>
      <c r="E25" s="22"/>
      <c r="F25" s="21">
        <f>(45186583*7.48)/1000</f>
        <v>337995.64084000001</v>
      </c>
      <c r="G25" s="21">
        <f>(11756680*7.48)/1000</f>
        <v>87939.966400000005</v>
      </c>
      <c r="H25" s="21">
        <f>50400240/1000</f>
        <v>50400.24</v>
      </c>
      <c r="I25" s="28"/>
      <c r="J25" s="28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</row>
    <row r="26" spans="1:71" x14ac:dyDescent="0.25">
      <c r="A26" s="71">
        <v>44105</v>
      </c>
      <c r="B26" s="21">
        <f>(23208739*7.48)/1000</f>
        <v>173601.36772000001</v>
      </c>
      <c r="C26" s="21">
        <f>(6625903*7.48)/1000</f>
        <v>49561.754440000004</v>
      </c>
      <c r="D26" s="21"/>
      <c r="E26" s="22"/>
      <c r="F26" s="21">
        <f>(32493193*7.48)/1000</f>
        <v>243049.08364000003</v>
      </c>
      <c r="G26" s="21">
        <f>(6820541*7.48)/1000</f>
        <v>51017.646679999998</v>
      </c>
      <c r="H26" s="21"/>
      <c r="I26" s="28"/>
      <c r="J26" s="28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</row>
    <row r="27" spans="1:71" x14ac:dyDescent="0.25">
      <c r="A27" s="71">
        <v>44136</v>
      </c>
      <c r="B27" s="21">
        <f>(17539951*7.48)/1000</f>
        <v>131198.83348</v>
      </c>
      <c r="C27" s="21">
        <f>(4313024*7.48)/1000</f>
        <v>32261.419520000003</v>
      </c>
      <c r="D27" s="21"/>
      <c r="E27" s="22"/>
      <c r="F27" s="21">
        <f>(21681225*7.48)/1000</f>
        <v>162175.56299999999</v>
      </c>
      <c r="G27" s="21">
        <f>(5092279*7.48)/1000</f>
        <v>38090.246920000005</v>
      </c>
      <c r="H27" s="21"/>
      <c r="I27" s="28"/>
      <c r="J27" s="28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</row>
    <row r="28" spans="1:71" x14ac:dyDescent="0.25">
      <c r="A28" s="71">
        <v>44166</v>
      </c>
      <c r="B28" s="21">
        <f>(22811415*7.48)/1000</f>
        <v>170629.38420000003</v>
      </c>
      <c r="C28" s="21">
        <f>(8845571*7.48)/1000</f>
        <v>66164.871080000012</v>
      </c>
      <c r="D28" s="21">
        <f>24784980/1000</f>
        <v>24784.98</v>
      </c>
      <c r="E28" s="22"/>
      <c r="F28" s="21">
        <f>(27772447*7.48)/1000</f>
        <v>207737.90356000001</v>
      </c>
      <c r="G28" s="21">
        <f>(9652649*7.48)/1000</f>
        <v>72201.814520000014</v>
      </c>
      <c r="H28" s="21">
        <f>30611900/1000</f>
        <v>30611.9</v>
      </c>
      <c r="I28" s="28"/>
      <c r="J28" s="28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</row>
    <row r="29" spans="1:71" x14ac:dyDescent="0.25">
      <c r="A29" s="71">
        <v>44197</v>
      </c>
      <c r="B29" s="21">
        <f>(15761982*7.48)/1000</f>
        <v>117899.62536000001</v>
      </c>
      <c r="C29" s="21">
        <f>(5194117*7.48)/1000</f>
        <v>38851.995160000006</v>
      </c>
      <c r="D29" s="21"/>
      <c r="E29" s="22"/>
      <c r="F29" s="21">
        <f>(16681791*7.48)/1000</f>
        <v>124779.79668000001</v>
      </c>
      <c r="G29" s="21">
        <f>(4364345*7.48)/1000</f>
        <v>32645.300600000002</v>
      </c>
      <c r="H29" s="21"/>
      <c r="I29" s="28"/>
      <c r="J29" s="28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</row>
    <row r="30" spans="1:71" x14ac:dyDescent="0.25">
      <c r="A30" s="71">
        <v>44228</v>
      </c>
      <c r="B30" s="21">
        <f>(13931046*7.48)/1000</f>
        <v>104204.22408000001</v>
      </c>
      <c r="C30" s="21">
        <f>(3634263*7.48)/1000</f>
        <v>27184.287240000001</v>
      </c>
      <c r="D30" s="21"/>
      <c r="E30" s="22"/>
      <c r="F30" s="21">
        <f>(16649497*7.48)/1000</f>
        <v>124538.23756000001</v>
      </c>
      <c r="G30" s="21">
        <f>(4410114*7.48)/1000</f>
        <v>32987.652720000006</v>
      </c>
      <c r="H30" s="21"/>
      <c r="I30" s="28"/>
      <c r="J30" s="2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</row>
    <row r="31" spans="1:71" x14ac:dyDescent="0.25">
      <c r="A31" s="71">
        <v>44256</v>
      </c>
      <c r="B31" s="21">
        <f>(15599932*7.48)/1000</f>
        <v>116687.49136</v>
      </c>
      <c r="C31" s="21">
        <f>(7026308*7.48)/1000</f>
        <v>52556.783840000004</v>
      </c>
      <c r="D31" s="21">
        <f>21965020/1000</f>
        <v>21965.02</v>
      </c>
      <c r="E31" s="22"/>
      <c r="F31" s="21">
        <f>(19319537*7.48)/1000</f>
        <v>144510.13676000002</v>
      </c>
      <c r="G31" s="21">
        <f>(4986121*7.48)/1000</f>
        <v>37296.185080000003</v>
      </c>
      <c r="H31" s="21">
        <f>30196760/1000</f>
        <v>30196.76</v>
      </c>
      <c r="I31" s="28"/>
      <c r="J31" s="2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</row>
    <row r="32" spans="1:71" x14ac:dyDescent="0.25">
      <c r="A32" s="71">
        <v>44287</v>
      </c>
      <c r="B32" s="21">
        <f>(14652268*7.48)/1000</f>
        <v>109598.96464000001</v>
      </c>
      <c r="C32" s="21">
        <f>(4011843*7.48)/1000</f>
        <v>30008.585640000001</v>
      </c>
      <c r="D32" s="21"/>
      <c r="E32" s="22"/>
      <c r="F32" s="21">
        <f>(18244090*7.48)/1000</f>
        <v>136465.79320000001</v>
      </c>
      <c r="G32" s="21">
        <f>(7083368*7.48)/1000</f>
        <v>52983.592640000003</v>
      </c>
      <c r="H32" s="21"/>
      <c r="I32" s="28"/>
      <c r="J32" s="28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</row>
    <row r="33" spans="1:71" ht="6.75" customHeight="1" x14ac:dyDescent="0.25">
      <c r="A33" s="32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</row>
    <row r="34" spans="1:71" ht="2.25" customHeight="1" x14ac:dyDescent="0.25">
      <c r="A34" s="34"/>
      <c r="B34" s="59"/>
      <c r="C34" s="59"/>
      <c r="D34" s="59"/>
      <c r="E34" s="59"/>
      <c r="F34" s="59"/>
      <c r="G34" s="59"/>
      <c r="H34" s="59"/>
      <c r="I34" s="28"/>
      <c r="J34" s="28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</row>
    <row r="35" spans="1:71" ht="6.75" customHeight="1" x14ac:dyDescent="0.25">
      <c r="A35" s="32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</row>
    <row r="36" spans="1:71" ht="23.25" x14ac:dyDescent="0.35">
      <c r="A36" s="35"/>
      <c r="B36" s="63" t="str">
        <f>"Input Water Produced ("&amp;C10&amp;")"</f>
        <v>Input Water Produced (MG)</v>
      </c>
      <c r="C36" s="63"/>
      <c r="D36" s="63"/>
      <c r="E36" s="63"/>
      <c r="F36" s="63"/>
      <c r="G36" s="63"/>
      <c r="H36" s="63"/>
      <c r="I36" s="30"/>
      <c r="J36" s="30"/>
      <c r="K36" s="30"/>
      <c r="L36" s="30"/>
      <c r="M36" s="30"/>
      <c r="N36" s="30"/>
      <c r="O36" s="30"/>
      <c r="P36" s="30"/>
      <c r="Q36" s="47"/>
      <c r="R36" s="47"/>
      <c r="S36" s="5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</row>
    <row r="37" spans="1:71" x14ac:dyDescent="0.25">
      <c r="A37" s="35"/>
      <c r="B37" s="58" t="s">
        <v>11</v>
      </c>
      <c r="C37" s="58"/>
      <c r="D37" s="58"/>
      <c r="E37" s="58"/>
      <c r="F37" s="58"/>
      <c r="G37" s="58"/>
      <c r="H37" s="58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</row>
    <row r="38" spans="1:71" ht="23.25" x14ac:dyDescent="0.35">
      <c r="A38" s="35"/>
      <c r="B38" s="32"/>
      <c r="C38" s="36" t="s">
        <v>2</v>
      </c>
      <c r="D38" s="37" t="s">
        <v>47</v>
      </c>
      <c r="E38" s="38"/>
      <c r="F38" s="37" t="s">
        <v>48</v>
      </c>
      <c r="G38" s="30"/>
      <c r="H38" s="37" t="s">
        <v>50</v>
      </c>
      <c r="I38" s="28"/>
      <c r="J38" s="28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</row>
    <row r="39" spans="1:71" x14ac:dyDescent="0.25">
      <c r="A39" s="35"/>
      <c r="B39" s="32"/>
      <c r="C39" s="71">
        <v>43862</v>
      </c>
      <c r="D39" s="44">
        <v>173.84700000000001</v>
      </c>
      <c r="E39" s="45"/>
      <c r="F39" s="44">
        <v>167.53200000000001</v>
      </c>
      <c r="G39" s="30"/>
      <c r="H39" s="70">
        <f>(F39-D39)/D39</f>
        <v>-3.6325044435624412E-2</v>
      </c>
      <c r="I39" s="28"/>
      <c r="J39" s="28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</row>
    <row r="40" spans="1:71" x14ac:dyDescent="0.25">
      <c r="A40" s="35"/>
      <c r="B40" s="32"/>
      <c r="C40" s="71">
        <v>43891</v>
      </c>
      <c r="D40" s="44">
        <v>195.333</v>
      </c>
      <c r="E40" s="45"/>
      <c r="F40" s="44">
        <v>190.30600000000001</v>
      </c>
      <c r="G40" s="30"/>
      <c r="H40" s="70">
        <f>(F40-D40)/D40</f>
        <v>-2.573553879784771E-2</v>
      </c>
      <c r="I40" s="28"/>
      <c r="J40" s="28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</row>
    <row r="41" spans="1:71" x14ac:dyDescent="0.25">
      <c r="A41" s="35"/>
      <c r="B41" s="32"/>
      <c r="C41" s="71">
        <v>43922</v>
      </c>
      <c r="D41" s="44">
        <v>193.55099999999999</v>
      </c>
      <c r="E41" s="45"/>
      <c r="F41" s="44">
        <v>178.22</v>
      </c>
      <c r="G41" s="30"/>
      <c r="H41" s="70">
        <f>(F41-D41)/D41</f>
        <v>-7.9209097343852466E-2</v>
      </c>
      <c r="I41" s="28"/>
      <c r="J41" s="28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</row>
    <row r="42" spans="1:71" x14ac:dyDescent="0.25">
      <c r="A42" s="35"/>
      <c r="B42" s="32"/>
      <c r="C42" s="71">
        <v>43952</v>
      </c>
      <c r="D42" s="44">
        <v>228.09100000000001</v>
      </c>
      <c r="E42" s="45"/>
      <c r="F42" s="44">
        <v>240.625</v>
      </c>
      <c r="G42" s="30"/>
      <c r="H42" s="70">
        <f>(F42-D42)/D42</f>
        <v>5.4951751713132005E-2</v>
      </c>
      <c r="I42" s="28"/>
      <c r="J42" s="28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</row>
    <row r="43" spans="1:71" x14ac:dyDescent="0.25">
      <c r="A43" s="35"/>
      <c r="B43" s="32"/>
      <c r="C43" s="71">
        <v>43983</v>
      </c>
      <c r="D43" s="20">
        <v>257.89999999999998</v>
      </c>
      <c r="E43" s="39"/>
      <c r="F43" s="20">
        <v>348.57</v>
      </c>
      <c r="G43" s="30"/>
      <c r="H43" s="70">
        <f>(F43-D43)/D43</f>
        <v>0.35157037611477326</v>
      </c>
      <c r="I43" s="28"/>
      <c r="J43" s="28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</row>
    <row r="44" spans="1:71" x14ac:dyDescent="0.25">
      <c r="A44" s="35"/>
      <c r="B44" s="32"/>
      <c r="C44" s="71">
        <v>44013</v>
      </c>
      <c r="D44" s="20">
        <v>333.37</v>
      </c>
      <c r="E44" s="39"/>
      <c r="F44" s="20">
        <v>381.34</v>
      </c>
      <c r="G44" s="30"/>
      <c r="H44" s="70">
        <f>(F44-D44)/D44</f>
        <v>0.14389417164111939</v>
      </c>
      <c r="I44" s="28"/>
      <c r="J44" s="28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</row>
    <row r="45" spans="1:71" x14ac:dyDescent="0.25">
      <c r="A45" s="35"/>
      <c r="B45" s="32"/>
      <c r="C45" s="71">
        <v>44044</v>
      </c>
      <c r="D45" s="44">
        <v>323.49</v>
      </c>
      <c r="E45" s="45"/>
      <c r="F45" s="44">
        <v>370.12</v>
      </c>
      <c r="G45" s="30"/>
      <c r="H45" s="70">
        <f>(F45-D45)/D45</f>
        <v>0.14414665059198117</v>
      </c>
      <c r="I45" s="28"/>
      <c r="J45" s="28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</row>
    <row r="46" spans="1:71" x14ac:dyDescent="0.25">
      <c r="A46" s="35"/>
      <c r="B46" s="32"/>
      <c r="C46" s="71">
        <v>44075</v>
      </c>
      <c r="D46" s="44">
        <v>282.52999999999997</v>
      </c>
      <c r="E46" s="45"/>
      <c r="F46" s="44">
        <v>320.39</v>
      </c>
      <c r="G46" s="30"/>
      <c r="H46" s="70">
        <f>(F46-D46)/D46</f>
        <v>0.13400346865819565</v>
      </c>
      <c r="I46" s="28"/>
      <c r="J46" s="28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</row>
    <row r="47" spans="1:71" x14ac:dyDescent="0.25">
      <c r="A47" s="35"/>
      <c r="B47" s="32"/>
      <c r="C47" s="71">
        <v>44105</v>
      </c>
      <c r="D47" s="44">
        <v>208.72</v>
      </c>
      <c r="E47" s="45"/>
      <c r="F47" s="44">
        <v>233.34</v>
      </c>
      <c r="G47" s="30"/>
      <c r="H47" s="70">
        <f>(F47-D47)/D47</f>
        <v>0.11795707167497127</v>
      </c>
      <c r="I47" s="28"/>
      <c r="J47" s="28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</row>
    <row r="48" spans="1:71" x14ac:dyDescent="0.25">
      <c r="A48" s="35"/>
      <c r="B48" s="32"/>
      <c r="C48" s="71">
        <v>44136</v>
      </c>
      <c r="D48" s="44">
        <v>193.92</v>
      </c>
      <c r="E48" s="45"/>
      <c r="F48" s="44">
        <v>187.14</v>
      </c>
      <c r="G48" s="30"/>
      <c r="H48" s="70">
        <f>(F48-D48)/D48</f>
        <v>-3.4962871287128723E-2</v>
      </c>
      <c r="I48" s="28"/>
      <c r="J48" s="28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</row>
    <row r="49" spans="1:71" x14ac:dyDescent="0.25">
      <c r="A49" s="35"/>
      <c r="B49" s="32"/>
      <c r="C49" s="71">
        <v>44166</v>
      </c>
      <c r="D49" s="44">
        <v>188.86</v>
      </c>
      <c r="E49" s="45"/>
      <c r="F49" s="44">
        <v>182.02</v>
      </c>
      <c r="G49" s="30"/>
      <c r="H49" s="70">
        <f>(F49-D49)/D49</f>
        <v>-3.6217303822937641E-2</v>
      </c>
      <c r="I49" s="28"/>
      <c r="J49" s="28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</row>
    <row r="50" spans="1:71" x14ac:dyDescent="0.25">
      <c r="A50" s="35"/>
      <c r="B50" s="32"/>
      <c r="C50" s="71">
        <v>44197</v>
      </c>
      <c r="D50" s="44">
        <v>189.94</v>
      </c>
      <c r="E50" s="45"/>
      <c r="F50" s="44">
        <v>189.96</v>
      </c>
      <c r="G50" s="30"/>
      <c r="H50" s="70">
        <f>(F50-D50)/D50</f>
        <v>1.0529640939249358E-4</v>
      </c>
      <c r="I50" s="28"/>
      <c r="J50" s="28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</row>
    <row r="51" spans="1:71" x14ac:dyDescent="0.25">
      <c r="A51" s="35"/>
      <c r="B51" s="32"/>
      <c r="C51" s="71">
        <v>44228</v>
      </c>
      <c r="D51" s="44">
        <v>173.75</v>
      </c>
      <c r="E51" s="45"/>
      <c r="F51" s="44">
        <v>178.97</v>
      </c>
      <c r="G51" s="30"/>
      <c r="H51" s="70">
        <f>(F51-D51)/D51</f>
        <v>3.0043165467625893E-2</v>
      </c>
      <c r="I51" s="28"/>
      <c r="J51" s="28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</row>
    <row r="52" spans="1:71" x14ac:dyDescent="0.25">
      <c r="A52" s="35"/>
      <c r="B52" s="32"/>
      <c r="C52" s="71">
        <v>44256</v>
      </c>
      <c r="D52" s="44">
        <v>190.77</v>
      </c>
      <c r="E52" s="45"/>
      <c r="F52" s="44">
        <v>195.96</v>
      </c>
      <c r="G52" s="30"/>
      <c r="H52" s="70">
        <f>(F52-D52)/D52</f>
        <v>2.7205535461550544E-2</v>
      </c>
      <c r="I52" s="28"/>
      <c r="J52" s="28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</row>
    <row r="53" spans="1:71" x14ac:dyDescent="0.25">
      <c r="A53" s="35"/>
      <c r="B53" s="32"/>
      <c r="C53" s="71">
        <v>44287</v>
      </c>
      <c r="D53" s="20">
        <v>184.23</v>
      </c>
      <c r="E53" s="39"/>
      <c r="F53" s="20">
        <v>203.05</v>
      </c>
      <c r="G53" s="30"/>
      <c r="H53" s="70">
        <f>(F53-D53)/D53</f>
        <v>0.10215491505183751</v>
      </c>
      <c r="I53" s="28"/>
      <c r="J53" s="28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</row>
    <row r="54" spans="1:71" x14ac:dyDescent="0.25">
      <c r="A54" s="35"/>
      <c r="B54" s="32"/>
      <c r="C54" s="32"/>
      <c r="D54" s="28"/>
      <c r="E54" s="28"/>
      <c r="F54" s="28"/>
      <c r="G54" s="28"/>
      <c r="H54" s="28"/>
      <c r="I54" s="28"/>
      <c r="J54" s="28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</row>
    <row r="55" spans="1:71" x14ac:dyDescent="0.25">
      <c r="A55" s="35"/>
      <c r="B55" s="32"/>
      <c r="C55" s="32"/>
      <c r="D55" s="28" t="s">
        <v>42</v>
      </c>
      <c r="E55" s="28"/>
      <c r="F55" s="28"/>
      <c r="G55" s="28"/>
      <c r="H55" s="28"/>
      <c r="I55" s="28"/>
      <c r="J55" s="28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</row>
    <row r="56" spans="1:71" x14ac:dyDescent="0.25">
      <c r="A56" s="32"/>
      <c r="B56" s="32"/>
      <c r="C56" s="32"/>
      <c r="D56" s="28"/>
      <c r="E56" s="28"/>
      <c r="F56" s="28"/>
      <c r="G56" s="28"/>
      <c r="H56" s="28"/>
      <c r="I56" s="28"/>
      <c r="J56" s="28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</row>
    <row r="57" spans="1:71" x14ac:dyDescent="0.25">
      <c r="A57" s="32"/>
      <c r="B57" s="32"/>
      <c r="C57" s="32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</row>
    <row r="58" spans="1:71" x14ac:dyDescent="0.25">
      <c r="A58" s="32"/>
      <c r="B58" s="32"/>
      <c r="C58" s="32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</row>
    <row r="59" spans="1:71" x14ac:dyDescent="0.25">
      <c r="A59" s="32"/>
      <c r="B59" s="32"/>
      <c r="C59" s="32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</row>
    <row r="60" spans="1:71" x14ac:dyDescent="0.25">
      <c r="A60" s="32"/>
      <c r="B60" s="32"/>
      <c r="C60" s="32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</row>
  </sheetData>
  <mergeCells count="14">
    <mergeCell ref="B37:H37"/>
    <mergeCell ref="B34:H34"/>
    <mergeCell ref="B12:H12"/>
    <mergeCell ref="A1:H4"/>
    <mergeCell ref="B36:H36"/>
    <mergeCell ref="C8:D8"/>
    <mergeCell ref="C9:D9"/>
    <mergeCell ref="C10:D10"/>
    <mergeCell ref="B14:H14"/>
    <mergeCell ref="B15:H15"/>
    <mergeCell ref="F16:H16"/>
    <mergeCell ref="B16:D16"/>
    <mergeCell ref="A5:H6"/>
    <mergeCell ref="A7:H7"/>
  </mergeCells>
  <dataValidations count="2">
    <dataValidation type="list" allowBlank="1" showInputMessage="1" showErrorMessage="1" sqref="C9" xr:uid="{9A250A00-E307-4E80-B9E6-BCDB0FDFA7B5}">
      <formula1>"Kgal, Gallons, Ccf, Cubic Feet"</formula1>
    </dataValidation>
    <dataValidation type="list" allowBlank="1" showInputMessage="1" showErrorMessage="1" sqref="C10:D10" xr:uid="{1F0122CB-CB8A-4D97-A6DE-E93FE954EB7B}">
      <formula1>"MG, MGD, Kgal, Ccf"</formula1>
    </dataValidation>
  </dataValidations>
  <pageMargins left="0.25" right="0.25" top="0.75" bottom="0.75" header="0.3" footer="0.3"/>
  <pageSetup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S70"/>
  <sheetViews>
    <sheetView topLeftCell="A37" zoomScaleNormal="100" workbookViewId="0">
      <selection activeCell="P15" sqref="P15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9" width="9.140625" style="30"/>
    <col min="20" max="16384" width="9.140625" style="8"/>
  </cols>
  <sheetData>
    <row r="1" spans="1:19" ht="24" customHeight="1" x14ac:dyDescent="0.4">
      <c r="A1" s="67" t="s">
        <v>12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9" ht="28.5" customHeight="1" x14ac:dyDescent="0.4">
      <c r="A2" s="68" t="s">
        <v>45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9" ht="26.25" customHeight="1" x14ac:dyDescent="0.4">
      <c r="A3" s="67" t="s">
        <v>41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9" ht="24.75" customHeight="1" x14ac:dyDescent="0.35">
      <c r="A4" s="41" t="s">
        <v>15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ht="15" customHeigh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" customHeight="1" x14ac:dyDescent="0.3">
      <c r="A6" s="32"/>
      <c r="B6" s="42" t="s">
        <v>16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" customHeight="1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" customHeight="1" x14ac:dyDescent="0.25">
      <c r="A8" s="32"/>
      <c r="B8" s="32"/>
      <c r="C8" s="32" t="s">
        <v>17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x14ac:dyDescent="0.2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x14ac:dyDescent="0.25">
      <c r="N10" s="8"/>
    </row>
    <row r="11" spans="1:19" x14ac:dyDescent="0.25">
      <c r="C11" s="50">
        <v>44287</v>
      </c>
      <c r="E11" s="26">
        <v>1810700.08</v>
      </c>
      <c r="G11" s="26">
        <v>743678.64</v>
      </c>
      <c r="I11" s="26">
        <v>-24452.9</v>
      </c>
      <c r="K11" s="26">
        <f>231076.49+376207.99</f>
        <v>607284.47999999998</v>
      </c>
      <c r="M11" s="26">
        <f>SUM(E11:K11)</f>
        <v>3137210.3000000003</v>
      </c>
      <c r="N11" s="8"/>
    </row>
    <row r="12" spans="1:19" x14ac:dyDescent="0.25">
      <c r="C12" s="25" t="s">
        <v>18</v>
      </c>
      <c r="D12" s="25"/>
      <c r="E12" s="25" t="s">
        <v>19</v>
      </c>
      <c r="F12" s="25"/>
      <c r="G12" s="25" t="s">
        <v>20</v>
      </c>
      <c r="H12" s="25"/>
      <c r="I12" s="25" t="s">
        <v>36</v>
      </c>
      <c r="J12" s="25"/>
      <c r="K12" s="25" t="s">
        <v>37</v>
      </c>
      <c r="L12" s="25"/>
      <c r="M12" s="25" t="s">
        <v>21</v>
      </c>
      <c r="N12" s="8"/>
    </row>
    <row r="13" spans="1:19" x14ac:dyDescent="0.25">
      <c r="N13" s="8"/>
    </row>
    <row r="14" spans="1:19" x14ac:dyDescent="0.25">
      <c r="N14" s="8"/>
    </row>
    <row r="15" spans="1:19" x14ac:dyDescent="0.25">
      <c r="C15" s="50">
        <v>44256</v>
      </c>
      <c r="E15" s="26">
        <v>2259135.96</v>
      </c>
      <c r="G15" s="26">
        <v>343679.18</v>
      </c>
      <c r="I15" s="26">
        <v>123694.07</v>
      </c>
      <c r="K15" s="26">
        <f>208454.72+376685.71</f>
        <v>585140.43000000005</v>
      </c>
      <c r="M15" s="26">
        <f>SUM(E15,G15,I15,K15)</f>
        <v>3311649.64</v>
      </c>
      <c r="N15" s="8"/>
    </row>
    <row r="16" spans="1:19" x14ac:dyDescent="0.25">
      <c r="C16" s="25" t="s">
        <v>22</v>
      </c>
      <c r="D16" s="25"/>
      <c r="E16" s="25" t="s">
        <v>19</v>
      </c>
      <c r="F16" s="25"/>
      <c r="G16" s="25" t="s">
        <v>20</v>
      </c>
      <c r="H16" s="25"/>
      <c r="I16" s="25" t="s">
        <v>36</v>
      </c>
      <c r="J16" s="25"/>
      <c r="K16" s="25" t="s">
        <v>37</v>
      </c>
      <c r="L16" s="25"/>
      <c r="M16" s="25" t="s">
        <v>21</v>
      </c>
      <c r="N16" s="8"/>
    </row>
    <row r="17" spans="1:19" x14ac:dyDescent="0.25">
      <c r="N17" s="8"/>
    </row>
    <row r="18" spans="1:19" x14ac:dyDescent="0.25">
      <c r="N18" s="8"/>
    </row>
    <row r="19" spans="1:19" x14ac:dyDescent="0.25">
      <c r="C19" s="50">
        <v>43922</v>
      </c>
      <c r="E19" s="26">
        <v>1297132.2</v>
      </c>
      <c r="G19" s="26">
        <v>519489.73</v>
      </c>
      <c r="I19" s="26">
        <v>172581.83</v>
      </c>
      <c r="K19" s="26">
        <v>145415.70000000001</v>
      </c>
      <c r="M19" s="26">
        <f>SUM(E19:K19)</f>
        <v>2134619.46</v>
      </c>
      <c r="N19" s="8"/>
    </row>
    <row r="20" spans="1:19" x14ac:dyDescent="0.25">
      <c r="C20" s="25" t="s">
        <v>23</v>
      </c>
      <c r="D20" s="25"/>
      <c r="E20" s="25" t="s">
        <v>19</v>
      </c>
      <c r="F20" s="25"/>
      <c r="G20" s="25" t="s">
        <v>20</v>
      </c>
      <c r="H20" s="25"/>
      <c r="I20" s="25" t="s">
        <v>36</v>
      </c>
      <c r="J20" s="25"/>
      <c r="K20" s="25" t="s">
        <v>37</v>
      </c>
      <c r="L20" s="25"/>
      <c r="M20" s="25" t="s">
        <v>21</v>
      </c>
      <c r="N20" s="8"/>
    </row>
    <row r="21" spans="1:19" x14ac:dyDescent="0.25">
      <c r="N21" s="8"/>
    </row>
    <row r="22" spans="1:19" x14ac:dyDescent="0.25">
      <c r="N22" s="8"/>
    </row>
    <row r="23" spans="1:19" x14ac:dyDescent="0.25">
      <c r="C23" s="50">
        <v>43891</v>
      </c>
      <c r="E23" s="26">
        <v>2094438.64</v>
      </c>
      <c r="G23" s="26">
        <v>434527.23</v>
      </c>
      <c r="I23" s="26">
        <v>160391.64000000001</v>
      </c>
      <c r="K23" s="26">
        <v>59327.79</v>
      </c>
      <c r="M23" s="26">
        <f>SUM(E23,G23,I23,K23)</f>
        <v>2748685.3000000003</v>
      </c>
      <c r="N23" s="8"/>
    </row>
    <row r="24" spans="1:19" x14ac:dyDescent="0.25">
      <c r="C24" s="25" t="s">
        <v>24</v>
      </c>
      <c r="D24" s="25"/>
      <c r="E24" s="25" t="s">
        <v>19</v>
      </c>
      <c r="F24" s="25"/>
      <c r="G24" s="25" t="s">
        <v>20</v>
      </c>
      <c r="H24" s="25"/>
      <c r="I24" s="25" t="s">
        <v>36</v>
      </c>
      <c r="J24" s="25"/>
      <c r="K24" s="25" t="s">
        <v>37</v>
      </c>
      <c r="L24" s="25"/>
      <c r="M24" s="25" t="s">
        <v>21</v>
      </c>
      <c r="N24" s="25"/>
    </row>
    <row r="25" spans="1:19" x14ac:dyDescent="0.25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9" x14ac:dyDescent="0.25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9" ht="18.75" x14ac:dyDescent="0.3">
      <c r="A27" s="32"/>
      <c r="B27" s="42" t="s">
        <v>25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spans="1:19" x14ac:dyDescent="0.2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19" x14ac:dyDescent="0.25">
      <c r="A29" s="32"/>
      <c r="B29" s="32"/>
      <c r="C29" s="32" t="s">
        <v>26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:19" x14ac:dyDescent="0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:19" x14ac:dyDescent="0.25">
      <c r="A31" s="43"/>
      <c r="B31" s="43"/>
      <c r="C31" s="43"/>
      <c r="D31" s="43"/>
      <c r="E31" s="43"/>
      <c r="F31" s="43"/>
      <c r="G31" s="43"/>
      <c r="H31" s="43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:19" x14ac:dyDescent="0.25">
      <c r="A32" s="43"/>
      <c r="B32" s="43"/>
      <c r="C32" s="50">
        <v>44287</v>
      </c>
      <c r="D32" s="43"/>
      <c r="E32" s="21">
        <v>2693</v>
      </c>
      <c r="F32" s="43"/>
      <c r="G32" s="26">
        <v>627335.42000000004</v>
      </c>
      <c r="H32" s="43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4" ht="30" x14ac:dyDescent="0.25">
      <c r="C33" s="25" t="s">
        <v>18</v>
      </c>
      <c r="D33" s="25"/>
      <c r="E33" s="27" t="s">
        <v>27</v>
      </c>
      <c r="F33" s="25"/>
      <c r="G33" s="27" t="s">
        <v>28</v>
      </c>
      <c r="H33" s="25"/>
      <c r="I33" s="40"/>
      <c r="J33" s="40"/>
      <c r="K33" s="40"/>
      <c r="L33" s="40"/>
      <c r="M33" s="40"/>
      <c r="N33" s="40"/>
    </row>
    <row r="34" spans="1:14" x14ac:dyDescent="0.25">
      <c r="I34" s="30"/>
      <c r="J34" s="30"/>
      <c r="K34" s="30"/>
      <c r="L34" s="30"/>
      <c r="M34" s="30"/>
    </row>
    <row r="35" spans="1:14" x14ac:dyDescent="0.25">
      <c r="D35" s="25"/>
      <c r="E35" s="25"/>
      <c r="F35" s="25"/>
      <c r="G35" s="25"/>
      <c r="H35" s="25"/>
      <c r="I35" s="40"/>
      <c r="J35" s="30"/>
      <c r="K35" s="30"/>
      <c r="L35" s="30"/>
      <c r="M35" s="30"/>
    </row>
    <row r="36" spans="1:14" x14ac:dyDescent="0.25">
      <c r="C36" s="50">
        <v>44256</v>
      </c>
      <c r="D36" s="43"/>
      <c r="E36" s="21">
        <v>4083</v>
      </c>
      <c r="F36" s="43"/>
      <c r="G36" s="26">
        <v>998642.07</v>
      </c>
      <c r="H36" s="25"/>
      <c r="I36" s="40"/>
      <c r="J36" s="30"/>
      <c r="K36" s="30"/>
      <c r="L36" s="30"/>
      <c r="M36" s="30"/>
    </row>
    <row r="37" spans="1:14" ht="30" x14ac:dyDescent="0.25">
      <c r="C37" s="25" t="s">
        <v>22</v>
      </c>
      <c r="D37" s="25"/>
      <c r="E37" s="27" t="s">
        <v>27</v>
      </c>
      <c r="F37" s="25"/>
      <c r="G37" s="27" t="s">
        <v>28</v>
      </c>
      <c r="H37" s="25"/>
      <c r="I37" s="40"/>
      <c r="J37" s="30"/>
      <c r="K37" s="30"/>
      <c r="L37" s="30"/>
      <c r="M37" s="30"/>
    </row>
    <row r="38" spans="1:14" x14ac:dyDescent="0.25">
      <c r="D38" s="25"/>
      <c r="E38" s="25"/>
      <c r="F38" s="25"/>
      <c r="G38" s="25"/>
      <c r="H38" s="25"/>
      <c r="I38" s="40"/>
      <c r="J38" s="30"/>
      <c r="K38" s="30"/>
      <c r="L38" s="30"/>
      <c r="M38" s="30"/>
    </row>
    <row r="39" spans="1:14" x14ac:dyDescent="0.25">
      <c r="D39" s="25"/>
      <c r="E39" s="25"/>
      <c r="F39" s="25"/>
      <c r="G39" s="25"/>
      <c r="H39" s="25"/>
      <c r="I39" s="40"/>
      <c r="J39" s="30"/>
      <c r="K39" s="30"/>
      <c r="L39" s="30"/>
      <c r="M39" s="30"/>
    </row>
    <row r="40" spans="1:14" x14ac:dyDescent="0.25">
      <c r="C40" s="50">
        <v>43922</v>
      </c>
      <c r="D40" s="25"/>
      <c r="E40" s="21">
        <v>2360</v>
      </c>
      <c r="F40" s="25"/>
      <c r="G40" s="26">
        <v>393920.88</v>
      </c>
      <c r="H40" s="25"/>
      <c r="I40" s="40"/>
      <c r="J40" s="30"/>
      <c r="K40" s="30"/>
      <c r="L40" s="30"/>
      <c r="M40" s="30"/>
    </row>
    <row r="41" spans="1:14" ht="30" x14ac:dyDescent="0.25">
      <c r="C41" s="25" t="s">
        <v>23</v>
      </c>
      <c r="D41" s="25"/>
      <c r="E41" s="27" t="s">
        <v>27</v>
      </c>
      <c r="F41" s="25"/>
      <c r="G41" s="27" t="s">
        <v>28</v>
      </c>
      <c r="H41" s="25"/>
      <c r="I41" s="40"/>
      <c r="J41" s="30"/>
      <c r="K41" s="30"/>
      <c r="L41" s="30"/>
      <c r="M41" s="30"/>
    </row>
    <row r="42" spans="1:14" x14ac:dyDescent="0.25">
      <c r="D42" s="25"/>
      <c r="E42" s="25"/>
      <c r="F42" s="25"/>
      <c r="G42" s="25"/>
      <c r="H42" s="25"/>
      <c r="I42" s="40"/>
      <c r="J42" s="30"/>
      <c r="K42" s="30"/>
      <c r="L42" s="30"/>
      <c r="M42" s="30"/>
    </row>
    <row r="43" spans="1:14" x14ac:dyDescent="0.25">
      <c r="D43" s="25"/>
      <c r="E43" s="25"/>
      <c r="F43" s="25"/>
      <c r="G43" s="25"/>
      <c r="H43" s="25"/>
      <c r="I43" s="40"/>
      <c r="J43" s="30"/>
      <c r="K43" s="30"/>
      <c r="L43" s="30"/>
      <c r="M43" s="30"/>
    </row>
    <row r="44" spans="1:14" x14ac:dyDescent="0.25">
      <c r="C44" s="50">
        <v>43891</v>
      </c>
      <c r="D44" s="25"/>
      <c r="E44" s="21">
        <v>2205</v>
      </c>
      <c r="F44" s="25"/>
      <c r="G44" s="26">
        <v>309897.71999999997</v>
      </c>
      <c r="H44" s="25"/>
      <c r="I44" s="40"/>
      <c r="J44" s="30"/>
      <c r="K44" s="30"/>
      <c r="L44" s="30"/>
      <c r="M44" s="30"/>
    </row>
    <row r="45" spans="1:14" ht="30" x14ac:dyDescent="0.25">
      <c r="C45" s="25" t="s">
        <v>24</v>
      </c>
      <c r="D45" s="25"/>
      <c r="E45" s="27" t="s">
        <v>27</v>
      </c>
      <c r="F45" s="25"/>
      <c r="G45" s="27" t="s">
        <v>28</v>
      </c>
      <c r="H45" s="25"/>
      <c r="I45" s="40"/>
      <c r="J45" s="30"/>
      <c r="K45" s="30"/>
      <c r="L45" s="30"/>
      <c r="M45" s="30"/>
    </row>
    <row r="46" spans="1:14" x14ac:dyDescent="0.25">
      <c r="C46" s="25"/>
      <c r="D46" s="25"/>
      <c r="E46" s="25"/>
      <c r="F46" s="25"/>
      <c r="G46" s="25"/>
      <c r="H46" s="25"/>
      <c r="I46" s="40"/>
      <c r="J46" s="30"/>
      <c r="K46" s="30"/>
      <c r="L46" s="30"/>
      <c r="M46" s="30"/>
    </row>
    <row r="47" spans="1:14" x14ac:dyDescent="0.25">
      <c r="A47" s="32"/>
      <c r="B47" s="32"/>
      <c r="C47" s="32"/>
      <c r="D47" s="32"/>
      <c r="E47" s="32"/>
      <c r="F47" s="32"/>
      <c r="G47" s="32"/>
      <c r="H47" s="32"/>
      <c r="I47" s="32"/>
      <c r="J47" s="30"/>
      <c r="K47" s="30"/>
      <c r="L47" s="30"/>
      <c r="M47" s="30"/>
    </row>
    <row r="48" spans="1:14" ht="18.75" x14ac:dyDescent="0.3">
      <c r="A48" s="32"/>
      <c r="B48" s="42" t="s">
        <v>29</v>
      </c>
      <c r="C48" s="32"/>
      <c r="D48" s="32"/>
      <c r="E48" s="32"/>
      <c r="F48" s="32"/>
      <c r="G48" s="32"/>
      <c r="H48" s="32"/>
      <c r="I48" s="32"/>
      <c r="J48" s="30"/>
      <c r="K48" s="30"/>
      <c r="L48" s="30"/>
      <c r="M48" s="30"/>
    </row>
    <row r="49" spans="1:13" x14ac:dyDescent="0.25">
      <c r="A49" s="32"/>
      <c r="B49" s="32"/>
      <c r="C49" s="32"/>
      <c r="D49" s="32"/>
      <c r="E49" s="32"/>
      <c r="F49" s="32"/>
      <c r="G49" s="32"/>
      <c r="H49" s="32"/>
      <c r="I49" s="32"/>
      <c r="J49" s="30"/>
      <c r="K49" s="30"/>
      <c r="L49" s="30"/>
      <c r="M49" s="30"/>
    </row>
    <row r="50" spans="1:13" x14ac:dyDescent="0.25">
      <c r="A50" s="32"/>
      <c r="B50" s="32"/>
      <c r="C50" s="32" t="s">
        <v>30</v>
      </c>
      <c r="D50" s="32"/>
      <c r="E50" s="32"/>
      <c r="F50" s="32"/>
      <c r="G50" s="32"/>
      <c r="H50" s="32"/>
      <c r="I50" s="32"/>
      <c r="J50" s="30"/>
      <c r="K50" s="30"/>
      <c r="L50" s="30"/>
      <c r="M50" s="30"/>
    </row>
    <row r="51" spans="1:13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0"/>
      <c r="K51" s="30"/>
      <c r="L51" s="30"/>
      <c r="M51" s="30"/>
    </row>
    <row r="52" spans="1:13" x14ac:dyDescent="0.25">
      <c r="C52" s="25"/>
      <c r="D52" s="25"/>
      <c r="E52" s="25"/>
      <c r="F52" s="25"/>
      <c r="G52" s="25"/>
      <c r="H52" s="25"/>
      <c r="I52" s="25"/>
      <c r="K52" s="30"/>
      <c r="L52" s="30"/>
      <c r="M52" s="30"/>
    </row>
    <row r="53" spans="1:13" x14ac:dyDescent="0.25">
      <c r="C53" s="50">
        <v>44287</v>
      </c>
      <c r="D53" s="25"/>
      <c r="E53" s="26">
        <v>2048391</v>
      </c>
      <c r="F53" s="25"/>
      <c r="G53" s="50">
        <v>44256</v>
      </c>
      <c r="H53" s="25"/>
      <c r="I53" s="26">
        <v>988189.98</v>
      </c>
      <c r="K53" s="30"/>
      <c r="L53" s="30"/>
      <c r="M53" s="30"/>
    </row>
    <row r="54" spans="1:13" x14ac:dyDescent="0.25">
      <c r="C54" s="25" t="s">
        <v>18</v>
      </c>
      <c r="D54" s="25"/>
      <c r="E54" s="27" t="s">
        <v>31</v>
      </c>
      <c r="F54" s="25"/>
      <c r="G54" s="25" t="s">
        <v>18</v>
      </c>
      <c r="H54" s="25"/>
      <c r="I54" s="27" t="s">
        <v>31</v>
      </c>
      <c r="J54" s="25"/>
      <c r="K54" s="30"/>
      <c r="L54" s="30"/>
      <c r="M54" s="30"/>
    </row>
    <row r="55" spans="1:13" x14ac:dyDescent="0.25">
      <c r="C55" s="25"/>
      <c r="D55" s="25"/>
      <c r="E55" s="25"/>
      <c r="F55" s="25"/>
      <c r="G55" s="25"/>
      <c r="H55" s="25"/>
      <c r="I55" s="25"/>
      <c r="J55" s="25"/>
      <c r="K55" s="30"/>
      <c r="L55" s="30"/>
      <c r="M55" s="30"/>
    </row>
    <row r="56" spans="1:13" x14ac:dyDescent="0.25">
      <c r="C56" s="25"/>
      <c r="D56" s="25"/>
      <c r="E56" s="25"/>
      <c r="F56" s="25"/>
      <c r="G56" s="25"/>
      <c r="H56" s="25"/>
      <c r="I56" s="25"/>
      <c r="J56" s="25"/>
      <c r="K56" s="30"/>
      <c r="L56" s="30"/>
      <c r="M56" s="30"/>
    </row>
    <row r="57" spans="1:13" x14ac:dyDescent="0.25">
      <c r="C57" s="25"/>
      <c r="D57" s="25"/>
      <c r="E57" s="25"/>
      <c r="F57" s="25"/>
      <c r="G57" s="25"/>
      <c r="H57" s="25"/>
      <c r="I57" s="25"/>
      <c r="J57" s="25"/>
      <c r="K57" s="30"/>
      <c r="L57" s="30"/>
      <c r="M57" s="30"/>
    </row>
    <row r="58" spans="1:13" x14ac:dyDescent="0.25">
      <c r="C58" s="50">
        <v>43922</v>
      </c>
      <c r="D58" s="25"/>
      <c r="E58" s="26">
        <v>2018228</v>
      </c>
      <c r="F58" s="25"/>
      <c r="G58" s="50">
        <v>43891</v>
      </c>
      <c r="H58" s="25"/>
      <c r="I58" s="26">
        <v>1371972.02</v>
      </c>
      <c r="J58" s="25"/>
      <c r="K58" s="30"/>
      <c r="L58" s="30"/>
      <c r="M58" s="30"/>
    </row>
    <row r="59" spans="1:13" ht="30" x14ac:dyDescent="0.25">
      <c r="C59" s="27" t="s">
        <v>32</v>
      </c>
      <c r="D59" s="25"/>
      <c r="E59" s="27" t="s">
        <v>31</v>
      </c>
      <c r="F59" s="25"/>
      <c r="G59" s="27" t="s">
        <v>33</v>
      </c>
      <c r="H59" s="25"/>
      <c r="I59" s="27" t="s">
        <v>31</v>
      </c>
      <c r="J59" s="25"/>
      <c r="K59" s="30"/>
      <c r="L59" s="30"/>
      <c r="M59" s="30"/>
    </row>
    <row r="60" spans="1:13" x14ac:dyDescent="0.25">
      <c r="C60" s="25"/>
      <c r="D60" s="25"/>
      <c r="E60" s="25"/>
      <c r="F60" s="25"/>
      <c r="G60" s="25"/>
      <c r="H60" s="25"/>
      <c r="I60" s="25"/>
      <c r="J60" s="25"/>
      <c r="K60" s="30"/>
      <c r="L60" s="30"/>
      <c r="M60" s="30"/>
    </row>
    <row r="61" spans="1:13" x14ac:dyDescent="0.25">
      <c r="A61" s="30"/>
      <c r="B61" s="30"/>
      <c r="C61" s="40"/>
      <c r="D61" s="40"/>
      <c r="E61" s="40"/>
      <c r="F61" s="40"/>
      <c r="G61" s="40" t="s">
        <v>44</v>
      </c>
      <c r="H61" s="40"/>
      <c r="I61" s="40"/>
      <c r="J61" s="40"/>
      <c r="K61" s="30"/>
      <c r="L61" s="30"/>
      <c r="M61" s="30"/>
    </row>
    <row r="62" spans="1:13" x14ac:dyDescent="0.25">
      <c r="A62" s="30"/>
      <c r="B62" s="30"/>
      <c r="C62" s="40"/>
      <c r="D62" s="40"/>
      <c r="E62" s="40"/>
      <c r="F62" s="40"/>
      <c r="G62" s="30"/>
      <c r="H62" s="40"/>
      <c r="I62" s="40"/>
      <c r="J62" s="40"/>
      <c r="K62" s="30"/>
      <c r="L62" s="30"/>
      <c r="M62" s="30"/>
    </row>
    <row r="63" spans="1:13" x14ac:dyDescent="0.2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1:13" x14ac:dyDescent="0.25">
      <c r="A64" s="30"/>
      <c r="B64" s="30"/>
      <c r="C64" s="30"/>
      <c r="D64" s="30"/>
      <c r="E64" s="30"/>
      <c r="F64" s="30"/>
      <c r="G64" s="30" t="s">
        <v>46</v>
      </c>
      <c r="H64" s="30"/>
      <c r="I64" s="30"/>
      <c r="J64" s="30"/>
      <c r="K64" s="30"/>
      <c r="L64" s="30"/>
      <c r="M64" s="30"/>
    </row>
    <row r="65" spans="1:13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spans="1:13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1:13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1:13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1:13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1:13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</sheetData>
  <mergeCells count="3">
    <mergeCell ref="A3:N3"/>
    <mergeCell ref="A1:N1"/>
    <mergeCell ref="A2:N2"/>
  </mergeCells>
  <phoneticPr fontId="19" type="noConversion"/>
  <pageMargins left="0.25" right="0.25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David Simmons</cp:lastModifiedBy>
  <cp:lastPrinted>2021-05-13T12:07:37Z</cp:lastPrinted>
  <dcterms:created xsi:type="dcterms:W3CDTF">2020-04-08T14:34:01Z</dcterms:created>
  <dcterms:modified xsi:type="dcterms:W3CDTF">2021-05-13T13:57:44Z</dcterms:modified>
</cp:coreProperties>
</file>